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20" windowWidth="15480" windowHeight="11640" tabRatio="570" activeTab="1"/>
  </bookViews>
  <sheets>
    <sheet name="Info" sheetId="1" r:id="rId1"/>
    <sheet name="Encodage réponses Es" sheetId="2" r:id="rId2"/>
    <sheet name="Résultats" sheetId="3" r:id="rId3"/>
    <sheet name="Synthèse" sheetId="4" r:id="rId4"/>
  </sheets>
  <definedNames>
    <definedName name="_xlnm.Print_Titles" localSheetId="1">'Encodage réponses Es'!$A:$C</definedName>
    <definedName name="_xlnm.Print_Titles" localSheetId="2">'Résultats'!$A:$C</definedName>
    <definedName name="_xlnm.Print_Area" localSheetId="1">'Encodage réponses Es'!$A$1:$CH$52</definedName>
    <definedName name="_xlnm.Print_Area" localSheetId="2">'Résultats'!$1:$54</definedName>
    <definedName name="_xlnm.Print_Area" localSheetId="3">'Synthèse'!$A$1:$W$43</definedName>
  </definedNames>
  <calcPr fullCalcOnLoad="1"/>
</workbook>
</file>

<file path=xl/sharedStrings.xml><?xml version="1.0" encoding="utf-8"?>
<sst xmlns="http://schemas.openxmlformats.org/spreadsheetml/2006/main" count="460" uniqueCount="132">
  <si>
    <t>Identifier et effectuer</t>
  </si>
  <si>
    <t xml:space="preserve">               3.1.1. Compter, dénombrer, classer</t>
  </si>
  <si>
    <t>Nombre de réponses</t>
  </si>
  <si>
    <t>Abs
Pb</t>
  </si>
  <si>
    <t xml:space="preserve">     3.1. L'univers des NOMBRES</t>
  </si>
  <si>
    <t>Items réussis / 14</t>
  </si>
  <si>
    <t>Organiser selon un critère
Des objets réels ou représentés</t>
  </si>
  <si>
    <t>1-0-9</t>
  </si>
  <si>
    <t>1-8-0-9</t>
  </si>
  <si>
    <t>Légende couleurs</t>
  </si>
  <si>
    <t>Nb items / Comp.</t>
  </si>
  <si>
    <t>x&lt;50%</t>
  </si>
  <si>
    <t>50%&lt;x&lt;79,99%</t>
  </si>
  <si>
    <t>Réponses correctes</t>
  </si>
  <si>
    <t>Classer (situer, ordonner, comparer) des entiers, des décimaux, et des fractions munis d'un signe</t>
  </si>
  <si>
    <t>Total / 31</t>
  </si>
  <si>
    <t>Dire, lire, écrire des nombres dans la numération décimale</t>
  </si>
  <si>
    <t>Items réussis / 16</t>
  </si>
  <si>
    <t>Classer (situer, ordonner, comparer) des entiers, des décimaux et des fractions munis d'un signe</t>
  </si>
  <si>
    <t>Items réussis / 19</t>
  </si>
  <si>
    <t>Utiliser des propriétés des opérations</t>
  </si>
  <si>
    <t>Reconnaître, comparer</t>
  </si>
  <si>
    <t>Construire et utiliser des démarches</t>
  </si>
  <si>
    <t>Résoudre des problèmes simples</t>
  </si>
  <si>
    <t xml:space="preserve">                3.2.2. Reconnaitre, comparer, construire, exprimer</t>
  </si>
  <si>
    <t>Items réussis / 5</t>
  </si>
  <si>
    <t>Items réussis / 12</t>
  </si>
  <si>
    <t xml:space="preserve">                3.2.3. Dégager des régularités, des propriétés, argumenter</t>
  </si>
  <si>
    <t>Associer un solide à sa représentation dans le plan (vues coordonnées, perspective cavalière, développement)</t>
  </si>
  <si>
    <t>Domaines                  Compétences</t>
  </si>
  <si>
    <t>Résultats globaux</t>
  </si>
  <si>
    <t>Résultats par compétences</t>
  </si>
  <si>
    <r>
      <t xml:space="preserve">Tracer des figures simples </t>
    </r>
    <r>
      <rPr>
        <sz val="9"/>
        <rFont val="Arial"/>
        <family val="2"/>
      </rPr>
      <t>(en lien avec les propriétés des figures et au moyen de la règle graduée, de l'équerre et du compas)</t>
    </r>
  </si>
  <si>
    <t>Réponses incorrectes</t>
  </si>
  <si>
    <r>
      <t xml:space="preserve">NUMERATION
</t>
    </r>
    <r>
      <rPr>
        <b/>
        <sz val="10"/>
        <rFont val="Arial"/>
        <family val="2"/>
      </rPr>
      <t>(Totalisation des compétences précédentes)</t>
    </r>
  </si>
  <si>
    <t>en %</t>
  </si>
  <si>
    <r>
      <t xml:space="preserve">OPERATIONS
</t>
    </r>
    <r>
      <rPr>
        <b/>
        <sz val="10"/>
        <rFont val="Arial"/>
        <family val="2"/>
      </rPr>
      <t>(Totalisation des compétences précédentes)</t>
    </r>
  </si>
  <si>
    <t>Items réussis / 2</t>
  </si>
  <si>
    <t>Items réussis / 7</t>
  </si>
  <si>
    <t>Construire et utiliser des démarches pour calculer des périmètres, des aires, des volumes</t>
  </si>
  <si>
    <t>Résoudre des problèmes simples  de proportionnalité directe</t>
  </si>
  <si>
    <t>x&gt;79,99%</t>
  </si>
  <si>
    <t>Dire, lire, écrire des nombres dans la numération décimale de position en comprenant son principe</t>
  </si>
  <si>
    <t>Utiliser des propriétés des opérations pour remplacer un calcul par un autre plus simple</t>
  </si>
  <si>
    <t>Dans un contexte de reproduction de  dessins, relever la présence de régularités</t>
  </si>
  <si>
    <t>Reconnaître, comparer des solides et des figures, les différencier et les classer</t>
  </si>
  <si>
    <t xml:space="preserve">                3.3.1. Comparer, mesurer</t>
  </si>
  <si>
    <t>Dire, lire, écrire</t>
  </si>
  <si>
    <t>Utiliser les propriétés des opérations pour remplacer un calcul par un plus simple</t>
  </si>
  <si>
    <t>Reconnaître, comparer des solides, des figures, les différencier et les classer (sur base de propriétés de côtés, d'angles pour les figures)</t>
  </si>
  <si>
    <t>Items réussis / 3</t>
  </si>
  <si>
    <t>3.4. TRAITEMENT DES  DONNEES</t>
  </si>
  <si>
    <t>Items réussis / 4</t>
  </si>
  <si>
    <t>Résoudre des problèmes simples de proportionnalité directe</t>
  </si>
  <si>
    <t>3.1. NOMBRES</t>
  </si>
  <si>
    <t>Classer</t>
  </si>
  <si>
    <t>Items réussis / 8</t>
  </si>
  <si>
    <t>Réponses partielles</t>
  </si>
  <si>
    <t>SCORE GLOBAL MATHEMATIQUE</t>
  </si>
  <si>
    <t>Identifier et effectuer des opérations dans des situations variées</t>
  </si>
  <si>
    <t>SOLIDES ET
FIGURES</t>
  </si>
  <si>
    <t>TRAITEMENT DE DONNEES</t>
  </si>
  <si>
    <t>GRANDEURS</t>
  </si>
  <si>
    <t>Pas de réponse</t>
  </si>
  <si>
    <t>Tracer des figures simples</t>
  </si>
  <si>
    <t>TOT 3.1.1.Compter-dénombrer-classer</t>
  </si>
  <si>
    <t>TOT 3.1.3.Calculer</t>
  </si>
  <si>
    <t>60/69</t>
  </si>
  <si>
    <t>70/79</t>
  </si>
  <si>
    <t>80/89</t>
  </si>
  <si>
    <t>90/100</t>
  </si>
  <si>
    <t>Participants</t>
  </si>
  <si>
    <t>a</t>
  </si>
  <si>
    <t xml:space="preserve"> </t>
  </si>
  <si>
    <t>N°Cl</t>
  </si>
  <si>
    <t>Items</t>
  </si>
  <si>
    <t>NOMBRES</t>
  </si>
  <si>
    <t xml:space="preserve">     3.2. Le domaine des SOLIDES ET FIGURES</t>
  </si>
  <si>
    <t xml:space="preserve">     3.3. Le domaine des GRANDEURS</t>
  </si>
  <si>
    <t xml:space="preserve">     3.4. Le domaine du TRAITEMENT DE DONNEES</t>
  </si>
  <si>
    <t>Total en %</t>
  </si>
  <si>
    <t>Ecart-type</t>
  </si>
  <si>
    <t>Lire et interpréter un tableau</t>
  </si>
  <si>
    <t>3.2. SOLIDES FIGURES</t>
  </si>
  <si>
    <t>3.3. GRANDEURS</t>
  </si>
  <si>
    <t>Tracer des figures simples (en lien avec les propriétés des figures et au moyen de la règle graduée, de l'équerre et du compas)</t>
  </si>
  <si>
    <t xml:space="preserve">                3.3.2. Opérer, fractionner</t>
  </si>
  <si>
    <t>Lire et interpréter un tableau de nombres, un graphique, un diagramme</t>
  </si>
  <si>
    <t>Associer un solide à sa représentation dans le plan ( vues coordonnées, perspective cavalière, développement)</t>
  </si>
  <si>
    <t>Associer un solide à sa réprésentation</t>
  </si>
  <si>
    <t>Relever la présence de régularités</t>
  </si>
  <si>
    <t>10/19</t>
  </si>
  <si>
    <t>20/29</t>
  </si>
  <si>
    <t>30/39</t>
  </si>
  <si>
    <t>40/49</t>
  </si>
  <si>
    <t>50/59</t>
  </si>
  <si>
    <t>Total / 19</t>
  </si>
  <si>
    <t>Total / 14</t>
  </si>
  <si>
    <t>%</t>
  </si>
  <si>
    <t xml:space="preserve">               3.1.3. Calculer</t>
  </si>
  <si>
    <t>Dans un contexte de reproduction de dessins, relever la présence de régularités (reconnaître la présence d'un axe de symétrie)</t>
  </si>
  <si>
    <t>Score global      FORMATION MATHEMATIQUE</t>
  </si>
  <si>
    <t>FORMATION
MATHEMATIQUE</t>
  </si>
  <si>
    <t>ENCODAGE</t>
  </si>
  <si>
    <t>% de réussite à l'item</t>
  </si>
  <si>
    <t>Moyenne</t>
  </si>
  <si>
    <t>0/9</t>
  </si>
  <si>
    <t>Réponse correcte et complète</t>
  </si>
  <si>
    <t>Réponse partiellement correcte</t>
  </si>
  <si>
    <t>Pour profiter des fonctionnalités de cette grille, il suffit de remplir la feuille "Encodage réponses Es" ; les feuilles "Résultats" et "Synthèse" se complètent autamatiquement.</t>
  </si>
  <si>
    <t>se complètent automatiquement.</t>
  </si>
  <si>
    <r>
      <t xml:space="preserve">La feuille "Contexte" devra être </t>
    </r>
    <r>
      <rPr>
        <b/>
        <sz val="12"/>
        <rFont val="Arial"/>
        <family val="2"/>
      </rPr>
      <t>obligatoirement</t>
    </r>
    <r>
      <rPr>
        <sz val="12"/>
        <rFont val="Arial"/>
        <family val="2"/>
      </rPr>
      <t xml:space="preserve"> remplie pour les classes de l'échantillon et facultativement pour les autres.</t>
    </r>
  </si>
  <si>
    <t>Fonctionnalités</t>
  </si>
  <si>
    <t>* Si un élève est absent, un seul "a" suffit à faire apparaître "a" dans la colonne finale "Abs Pb"</t>
  </si>
  <si>
    <r>
      <t xml:space="preserve">* Pour l'encodage, TOUTES les cellules doivent être remplies sinon un </t>
    </r>
    <r>
      <rPr>
        <sz val="12"/>
        <color indexed="10"/>
        <rFont val="Arial"/>
        <family val="2"/>
      </rPr>
      <t>!</t>
    </r>
    <r>
      <rPr>
        <sz val="12"/>
        <rFont val="Arial"/>
        <family val="2"/>
      </rPr>
      <t xml:space="preserve"> Apparaît dans la colonne "Abs Pb"</t>
    </r>
  </si>
  <si>
    <r>
      <t xml:space="preserve">* En bas de la grille, </t>
    </r>
    <r>
      <rPr>
        <u val="single"/>
        <sz val="12"/>
        <rFont val="Arial"/>
        <family val="2"/>
      </rPr>
      <t>si nécessaire</t>
    </r>
    <r>
      <rPr>
        <sz val="12"/>
        <rFont val="Arial"/>
        <family val="2"/>
      </rPr>
      <t>, une indication apparaît vous renseignant sur le nombre de lignes incomplètes.</t>
    </r>
  </si>
  <si>
    <t>* Seuls les codes admis pourront être introduits.</t>
  </si>
  <si>
    <t>* Sous chaque item, vous disposez du % de réponses considérées correctes ainsi que la fréquence de chaque code.</t>
  </si>
  <si>
    <t>* Une fois les items encodés, vous obtiendrez pour chaque élève et pour votre classe une série de scores en fin de feuille.</t>
  </si>
  <si>
    <t>* Le score des élèves absents n'intervient pas dans le score moyen de la classe.</t>
  </si>
  <si>
    <t>En cas de problème</t>
  </si>
  <si>
    <t>Marcel BROOZE : 02 / 690 81 93</t>
  </si>
  <si>
    <t>Sébastien DELATTRE : 02 / 690 81 91</t>
  </si>
  <si>
    <t>Cette grille a été conçue dans le cadre de l'évaluation non certificative en mathématiques 2008 – 2e secondaire professionnelle.</t>
  </si>
  <si>
    <t>* Le nom des élèves ne doit pas apparaître dans la grille.</t>
  </si>
  <si>
    <t>N° Elèves</t>
  </si>
  <si>
    <t>défectueux</t>
  </si>
  <si>
    <t>Total / 80</t>
  </si>
  <si>
    <t>Total / 16</t>
  </si>
  <si>
    <t>% de réussite de la CF</t>
  </si>
  <si>
    <t>Moy Com fr</t>
  </si>
  <si>
    <t>NIVEAU DE COMPETENCE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</si>
</sst>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0.00\ %"/>
    <numFmt numFmtId="189" formatCode="0.0"/>
    <numFmt numFmtId="190" formatCode="0.000000"/>
    <numFmt numFmtId="191" formatCode="0.000000000"/>
    <numFmt numFmtId="192" formatCode="0.00000000"/>
    <numFmt numFmtId="193" formatCode="0.0000000"/>
    <numFmt numFmtId="194" formatCode="0.00000"/>
    <numFmt numFmtId="195" formatCode="0.0000"/>
    <numFmt numFmtId="196" formatCode="0.000"/>
    <numFmt numFmtId="197" formatCode="0.0000000000"/>
    <numFmt numFmtId="198" formatCode="0.0%"/>
    <numFmt numFmtId="199" formatCode="&quot;Vrai&quot;;&quot;Vrai&quot;;&quot;Faux&quot;"/>
    <numFmt numFmtId="200" formatCode="&quot;Actif&quot;;&quot;Actif&quot;;&quot;Inactif&quot;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0"/>
      <color indexed="8"/>
      <name val="Arial"/>
      <family val="2"/>
    </font>
    <font>
      <sz val="1.25"/>
      <name val="Arial"/>
      <family val="0"/>
    </font>
    <font>
      <sz val="3"/>
      <name val="Arial"/>
      <family val="2"/>
    </font>
    <font>
      <sz val="3.5"/>
      <name val="Arial"/>
      <family val="2"/>
    </font>
    <font>
      <sz val="2.5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1"/>
      <color indexed="9"/>
      <name val="Arial"/>
      <family val="2"/>
    </font>
    <font>
      <sz val="2.75"/>
      <name val="Arial"/>
      <family val="0"/>
    </font>
    <font>
      <sz val="6"/>
      <name val="Arial"/>
      <family val="2"/>
    </font>
    <font>
      <sz val="6.25"/>
      <name val="Arial"/>
      <family val="2"/>
    </font>
    <font>
      <sz val="6.5"/>
      <name val="Arial"/>
      <family val="2"/>
    </font>
    <font>
      <sz val="9"/>
      <name val="Arial"/>
      <family val="2"/>
    </font>
    <font>
      <sz val="8.75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5.75"/>
      <name val="Arial"/>
      <family val="2"/>
    </font>
    <font>
      <sz val="2.25"/>
      <name val="Arial"/>
      <family val="2"/>
    </font>
    <font>
      <sz val="25.5"/>
      <name val="Arial"/>
      <family val="0"/>
    </font>
    <font>
      <b/>
      <sz val="10.25"/>
      <name val="Arial"/>
      <family val="2"/>
    </font>
    <font>
      <sz val="9.75"/>
      <name val="Arial"/>
      <family val="2"/>
    </font>
    <font>
      <b/>
      <u val="single"/>
      <sz val="12"/>
      <name val="Arial"/>
      <family val="2"/>
    </font>
    <font>
      <b/>
      <vertAlign val="superscript"/>
      <sz val="15.5"/>
      <name val="Arial"/>
      <family val="2"/>
    </font>
    <font>
      <sz val="5.25"/>
      <name val="Arial"/>
      <family val="2"/>
    </font>
    <font>
      <b/>
      <sz val="12.25"/>
      <name val="Arial"/>
      <family val="0"/>
    </font>
    <font>
      <b/>
      <sz val="10"/>
      <color indexed="12"/>
      <name val="Arial"/>
      <family val="0"/>
    </font>
    <font>
      <b/>
      <sz val="18"/>
      <color indexed="12"/>
      <name val="Arial"/>
      <family val="2"/>
    </font>
    <font>
      <sz val="3.25"/>
      <name val="Arial"/>
      <family val="0"/>
    </font>
    <font>
      <sz val="8.5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u val="single"/>
      <sz val="12"/>
      <name val="Arial"/>
      <family val="2"/>
    </font>
    <font>
      <sz val="8"/>
      <color indexed="9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lightUp"/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dashed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 style="dashed"/>
      <top style="thin"/>
      <bottom style="medium"/>
    </border>
    <border>
      <left style="medium"/>
      <right style="dashed"/>
      <top style="thin"/>
      <bottom style="thin"/>
    </border>
    <border>
      <left style="dashed"/>
      <right style="thin"/>
      <top style="thin"/>
      <bottom style="thin"/>
    </border>
    <border>
      <left style="medium"/>
      <right style="dashed"/>
      <top style="thin"/>
      <bottom style="medium"/>
    </border>
    <border>
      <left style="thin"/>
      <right style="dashed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dashed"/>
      <top>
        <color indexed="63"/>
      </top>
      <bottom style="medium"/>
    </border>
    <border>
      <left style="medium"/>
      <right style="thin"/>
      <top style="thin"/>
      <bottom style="medium"/>
    </border>
    <border>
      <left style="dashed"/>
      <right style="dashed"/>
      <top style="thin"/>
      <bottom style="medium"/>
    </border>
    <border>
      <left style="dashed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dashed"/>
      <right style="medium"/>
      <top style="medium"/>
      <bottom style="thin"/>
    </border>
    <border>
      <left style="dashed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dashed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dashed"/>
      <top style="thin"/>
      <bottom style="medium"/>
    </border>
    <border>
      <left style="dashed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7">
    <xf numFmtId="0" fontId="0" fillId="0" borderId="0" xfId="0" applyAlignment="1">
      <alignment/>
    </xf>
    <xf numFmtId="1" fontId="6" fillId="0" borderId="0" xfId="0" applyNumberFormat="1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49" fontId="6" fillId="0" borderId="0" xfId="0" applyNumberFormat="1" applyFont="1" applyAlignment="1" applyProtection="1">
      <alignment/>
      <protection hidden="1"/>
    </xf>
    <xf numFmtId="0" fontId="2" fillId="0" borderId="0" xfId="0" applyFont="1" applyBorder="1" applyAlignment="1" applyProtection="1">
      <alignment horizontal="left"/>
      <protection hidden="1"/>
    </xf>
    <xf numFmtId="10" fontId="0" fillId="0" borderId="0" xfId="0" applyNumberFormat="1" applyFont="1" applyFill="1" applyBorder="1" applyAlignment="1" applyProtection="1">
      <alignment horizontal="center" vertical="center"/>
      <protection hidden="1"/>
    </xf>
    <xf numFmtId="198" fontId="12" fillId="0" borderId="0" xfId="0" applyNumberFormat="1" applyFont="1" applyFill="1" applyBorder="1" applyAlignment="1" applyProtection="1">
      <alignment horizontal="center" vertical="center"/>
      <protection hidden="1"/>
    </xf>
    <xf numFmtId="198" fontId="2" fillId="0" borderId="1" xfId="0" applyNumberFormat="1" applyFont="1" applyBorder="1" applyAlignment="1" applyProtection="1">
      <alignment horizontal="center" vertical="center"/>
      <protection hidden="1"/>
    </xf>
    <xf numFmtId="198" fontId="2" fillId="0" borderId="0" xfId="0" applyNumberFormat="1" applyFont="1" applyBorder="1" applyAlignment="1" applyProtection="1">
      <alignment horizontal="center" vertical="center"/>
      <protection hidden="1"/>
    </xf>
    <xf numFmtId="198" fontId="2" fillId="0" borderId="0" xfId="0" applyNumberFormat="1" applyFont="1" applyAlignment="1" applyProtection="1">
      <alignment horizontal="center" vertical="center"/>
      <protection hidden="1"/>
    </xf>
    <xf numFmtId="198" fontId="12" fillId="0" borderId="0" xfId="0" applyNumberFormat="1" applyFont="1" applyAlignment="1" applyProtection="1">
      <alignment horizontal="center" vertical="center"/>
      <protection hidden="1"/>
    </xf>
    <xf numFmtId="198" fontId="2" fillId="0" borderId="0" xfId="0" applyNumberFormat="1" applyFont="1" applyFill="1" applyBorder="1" applyAlignment="1" applyProtection="1">
      <alignment horizontal="center" vertical="center"/>
      <protection hidden="1"/>
    </xf>
    <xf numFmtId="198" fontId="2" fillId="0" borderId="0" xfId="0" applyNumberFormat="1" applyFont="1" applyFill="1" applyBorder="1" applyAlignment="1" applyProtection="1">
      <alignment horizontal="center"/>
      <protection hidden="1"/>
    </xf>
    <xf numFmtId="1" fontId="16" fillId="0" borderId="0" xfId="0" applyNumberFormat="1" applyFont="1" applyFill="1" applyBorder="1" applyAlignment="1" applyProtection="1">
      <alignment horizontal="center" vertical="center"/>
      <protection hidden="1"/>
    </xf>
    <xf numFmtId="9" fontId="2" fillId="0" borderId="0" xfId="0" applyNumberFormat="1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2" fontId="0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2" fontId="0" fillId="0" borderId="0" xfId="0" applyNumberFormat="1" applyFont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1" fontId="0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49" fontId="6" fillId="0" borderId="0" xfId="0" applyNumberFormat="1" applyFont="1" applyAlignment="1" applyProtection="1">
      <alignment/>
      <protection hidden="1"/>
    </xf>
    <xf numFmtId="1" fontId="6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2" xfId="0" applyFont="1" applyFill="1" applyBorder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"/>
      <protection hidden="1"/>
    </xf>
    <xf numFmtId="1" fontId="0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2" xfId="0" applyFont="1" applyFill="1" applyBorder="1" applyAlignment="1" applyProtection="1">
      <alignment horizontal="center"/>
      <protection hidden="1"/>
    </xf>
    <xf numFmtId="0" fontId="0" fillId="0" borderId="2" xfId="0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1" fontId="0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9" fontId="2" fillId="2" borderId="1" xfId="0" applyNumberFormat="1" applyFont="1" applyFill="1" applyBorder="1" applyAlignment="1" applyProtection="1">
      <alignment horizontal="center" vertical="center" shrinkToFit="1"/>
      <protection hidden="1"/>
    </xf>
    <xf numFmtId="1" fontId="0" fillId="0" borderId="0" xfId="0" applyNumberFormat="1" applyFont="1" applyAlignment="1" applyProtection="1">
      <alignment/>
      <protection hidden="1"/>
    </xf>
    <xf numFmtId="1" fontId="0" fillId="0" borderId="0" xfId="0" applyNumberFormat="1" applyFont="1" applyFill="1" applyBorder="1" applyAlignment="1" applyProtection="1">
      <alignment/>
      <protection hidden="1"/>
    </xf>
    <xf numFmtId="2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10" fontId="0" fillId="0" borderId="0" xfId="0" applyNumberFormat="1" applyFont="1" applyFill="1" applyBorder="1" applyAlignment="1" applyProtection="1">
      <alignment vertical="center"/>
      <protection hidden="1"/>
    </xf>
    <xf numFmtId="1" fontId="15" fillId="0" borderId="0" xfId="0" applyNumberFormat="1" applyFont="1" applyAlignment="1" applyProtection="1">
      <alignment vertical="center"/>
      <protection hidden="1"/>
    </xf>
    <xf numFmtId="2" fontId="0" fillId="0" borderId="0" xfId="0" applyNumberFormat="1" applyFont="1" applyAlignment="1" applyProtection="1">
      <alignment vertical="center"/>
      <protection hidden="1"/>
    </xf>
    <xf numFmtId="198" fontId="2" fillId="0" borderId="0" xfId="0" applyNumberFormat="1" applyFont="1" applyFill="1" applyBorder="1" applyAlignment="1" applyProtection="1">
      <alignment vertical="center"/>
      <protection hidden="1"/>
    </xf>
    <xf numFmtId="10" fontId="14" fillId="0" borderId="0" xfId="0" applyNumberFormat="1" applyFont="1" applyFill="1" applyBorder="1" applyAlignment="1" applyProtection="1">
      <alignment vertical="center"/>
      <protection hidden="1"/>
    </xf>
    <xf numFmtId="9" fontId="2" fillId="2" borderId="2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Font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3" xfId="0" applyFont="1" applyBorder="1" applyAlignment="1" applyProtection="1">
      <alignment/>
      <protection hidden="1"/>
    </xf>
    <xf numFmtId="1" fontId="6" fillId="0" borderId="3" xfId="0" applyNumberFormat="1" applyFont="1" applyBorder="1" applyAlignment="1" applyProtection="1">
      <alignment/>
      <protection hidden="1"/>
    </xf>
    <xf numFmtId="1" fontId="11" fillId="0" borderId="4" xfId="0" applyNumberFormat="1" applyFont="1" applyFill="1" applyBorder="1" applyAlignment="1" applyProtection="1">
      <alignment horizontal="center"/>
      <protection hidden="1"/>
    </xf>
    <xf numFmtId="1" fontId="11" fillId="0" borderId="5" xfId="0" applyNumberFormat="1" applyFont="1" applyFill="1" applyBorder="1" applyAlignment="1" applyProtection="1">
      <alignment horizontal="center" vertical="center"/>
      <protection hidden="1"/>
    </xf>
    <xf numFmtId="0" fontId="2" fillId="3" borderId="1" xfId="0" applyFont="1" applyFill="1" applyBorder="1" applyAlignment="1" applyProtection="1">
      <alignment horizontal="left"/>
      <protection hidden="1"/>
    </xf>
    <xf numFmtId="0" fontId="2" fillId="4" borderId="2" xfId="0" applyFont="1" applyFill="1" applyBorder="1" applyAlignment="1" applyProtection="1">
      <alignment horizontal="left"/>
      <protection hidden="1"/>
    </xf>
    <xf numFmtId="0" fontId="2" fillId="4" borderId="1" xfId="0" applyFont="1" applyFill="1" applyBorder="1" applyAlignment="1" applyProtection="1">
      <alignment horizontal="left"/>
      <protection hidden="1"/>
    </xf>
    <xf numFmtId="0" fontId="2" fillId="4" borderId="2" xfId="0" applyFont="1" applyFill="1" applyBorder="1" applyAlignment="1" applyProtection="1">
      <alignment/>
      <protection hidden="1"/>
    </xf>
    <xf numFmtId="0" fontId="2" fillId="4" borderId="1" xfId="0" applyFont="1" applyFill="1" applyBorder="1" applyAlignment="1" applyProtection="1">
      <alignment/>
      <protection hidden="1"/>
    </xf>
    <xf numFmtId="0" fontId="2" fillId="4" borderId="6" xfId="0" applyFont="1" applyFill="1" applyBorder="1" applyAlignment="1" applyProtection="1">
      <alignment/>
      <protection hidden="1"/>
    </xf>
    <xf numFmtId="0" fontId="0" fillId="0" borderId="7" xfId="0" applyFont="1" applyBorder="1" applyAlignment="1" applyProtection="1">
      <alignment/>
      <protection hidden="1"/>
    </xf>
    <xf numFmtId="1" fontId="6" fillId="0" borderId="0" xfId="0" applyNumberFormat="1" applyFont="1" applyBorder="1" applyAlignment="1" applyProtection="1">
      <alignment/>
      <protection hidden="1"/>
    </xf>
    <xf numFmtId="0" fontId="2" fillId="5" borderId="1" xfId="0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/>
      <protection hidden="1"/>
    </xf>
    <xf numFmtId="0" fontId="2" fillId="6" borderId="1" xfId="0" applyFont="1" applyFill="1" applyBorder="1" applyAlignment="1" applyProtection="1">
      <alignment/>
      <protection hidden="1"/>
    </xf>
    <xf numFmtId="0" fontId="2" fillId="7" borderId="1" xfId="0" applyFont="1" applyFill="1" applyBorder="1" applyAlignment="1" applyProtection="1">
      <alignment/>
      <protection hidden="1"/>
    </xf>
    <xf numFmtId="1" fontId="11" fillId="5" borderId="1" xfId="0" applyNumberFormat="1" applyFont="1" applyFill="1" applyBorder="1" applyAlignment="1" applyProtection="1">
      <alignment horizontal="right"/>
      <protection hidden="1"/>
    </xf>
    <xf numFmtId="1" fontId="11" fillId="5" borderId="1" xfId="0" applyNumberFormat="1" applyFont="1" applyFill="1" applyBorder="1" applyAlignment="1" applyProtection="1">
      <alignment horizontal="center"/>
      <protection hidden="1"/>
    </xf>
    <xf numFmtId="1" fontId="11" fillId="4" borderId="1" xfId="0" applyNumberFormat="1" applyFont="1" applyFill="1" applyBorder="1" applyAlignment="1" applyProtection="1">
      <alignment horizontal="center"/>
      <protection hidden="1"/>
    </xf>
    <xf numFmtId="1" fontId="11" fillId="2" borderId="1" xfId="0" applyNumberFormat="1" applyFont="1" applyFill="1" applyBorder="1" applyAlignment="1" applyProtection="1">
      <alignment horizontal="center"/>
      <protection hidden="1"/>
    </xf>
    <xf numFmtId="1" fontId="11" fillId="6" borderId="1" xfId="0" applyNumberFormat="1" applyFont="1" applyFill="1" applyBorder="1" applyAlignment="1" applyProtection="1">
      <alignment horizontal="center"/>
      <protection hidden="1"/>
    </xf>
    <xf numFmtId="1" fontId="11" fillId="4" borderId="4" xfId="0" applyNumberFormat="1" applyFont="1" applyFill="1" applyBorder="1" applyAlignment="1" applyProtection="1">
      <alignment horizontal="center"/>
      <protection hidden="1"/>
    </xf>
    <xf numFmtId="0" fontId="2" fillId="8" borderId="6" xfId="0" applyFont="1" applyFill="1" applyBorder="1" applyAlignment="1" applyProtection="1">
      <alignment horizontal="right"/>
      <protection hidden="1"/>
    </xf>
    <xf numFmtId="0" fontId="2" fillId="6" borderId="6" xfId="0" applyFont="1" applyFill="1" applyBorder="1" applyAlignment="1" applyProtection="1">
      <alignment horizontal="right"/>
      <protection hidden="1"/>
    </xf>
    <xf numFmtId="0" fontId="2" fillId="7" borderId="6" xfId="0" applyFont="1" applyFill="1" applyBorder="1" applyAlignment="1" applyProtection="1">
      <alignment horizontal="right"/>
      <protection hidden="1"/>
    </xf>
    <xf numFmtId="1" fontId="0" fillId="0" borderId="0" xfId="0" applyNumberFormat="1" applyFont="1" applyFill="1" applyBorder="1" applyAlignment="1" applyProtection="1">
      <alignment horizontal="center" vertical="center"/>
      <protection hidden="1"/>
    </xf>
    <xf numFmtId="198" fontId="13" fillId="0" borderId="0" xfId="0" applyNumberFormat="1" applyFont="1" applyFill="1" applyBorder="1" applyAlignment="1" applyProtection="1">
      <alignment horizontal="center" vertical="center"/>
      <protection hidden="1"/>
    </xf>
    <xf numFmtId="9" fontId="15" fillId="0" borderId="0" xfId="0" applyNumberFormat="1" applyFont="1" applyAlignment="1" applyProtection="1">
      <alignment horizontal="center" vertical="center"/>
      <protection hidden="1"/>
    </xf>
    <xf numFmtId="0" fontId="23" fillId="5" borderId="8" xfId="0" applyFont="1" applyFill="1" applyBorder="1" applyAlignment="1" applyProtection="1">
      <alignment vertical="center"/>
      <protection hidden="1"/>
    </xf>
    <xf numFmtId="198" fontId="2" fillId="5" borderId="8" xfId="0" applyNumberFormat="1" applyFont="1" applyFill="1" applyBorder="1" applyAlignment="1" applyProtection="1">
      <alignment horizontal="center" vertical="center"/>
      <protection hidden="1"/>
    </xf>
    <xf numFmtId="198" fontId="2" fillId="4" borderId="8" xfId="0" applyNumberFormat="1" applyFont="1" applyFill="1" applyBorder="1" applyAlignment="1" applyProtection="1">
      <alignment horizontal="center" vertical="center"/>
      <protection hidden="1"/>
    </xf>
    <xf numFmtId="198" fontId="2" fillId="2" borderId="8" xfId="0" applyNumberFormat="1" applyFont="1" applyFill="1" applyBorder="1" applyAlignment="1" applyProtection="1">
      <alignment horizontal="center" vertical="center"/>
      <protection hidden="1"/>
    </xf>
    <xf numFmtId="198" fontId="2" fillId="6" borderId="8" xfId="0" applyNumberFormat="1" applyFont="1" applyFill="1" applyBorder="1" applyAlignment="1" applyProtection="1">
      <alignment horizontal="center" vertical="center"/>
      <protection hidden="1"/>
    </xf>
    <xf numFmtId="198" fontId="2" fillId="7" borderId="8" xfId="0" applyNumberFormat="1" applyFont="1" applyFill="1" applyBorder="1" applyAlignment="1" applyProtection="1">
      <alignment horizontal="center" vertical="center"/>
      <protection hidden="1"/>
    </xf>
    <xf numFmtId="0" fontId="0" fillId="0" borderId="9" xfId="0" applyFont="1" applyBorder="1" applyAlignment="1" applyProtection="1">
      <alignment/>
      <protection hidden="1"/>
    </xf>
    <xf numFmtId="0" fontId="2" fillId="6" borderId="10" xfId="0" applyFont="1" applyFill="1" applyBorder="1" applyAlignment="1" applyProtection="1">
      <alignment horizontal="center"/>
      <protection/>
    </xf>
    <xf numFmtId="0" fontId="2" fillId="4" borderId="10" xfId="0" applyFont="1" applyFill="1" applyBorder="1" applyAlignment="1" applyProtection="1">
      <alignment horizontal="center"/>
      <protection/>
    </xf>
    <xf numFmtId="0" fontId="2" fillId="7" borderId="10" xfId="0" applyFont="1" applyFill="1" applyBorder="1" applyAlignment="1" applyProtection="1">
      <alignment horizontal="center"/>
      <protection/>
    </xf>
    <xf numFmtId="0" fontId="2" fillId="2" borderId="1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9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 shrinkToFit="1"/>
      <protection hidden="1"/>
    </xf>
    <xf numFmtId="0" fontId="5" fillId="4" borderId="8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24" fillId="4" borderId="13" xfId="0" applyFont="1" applyFill="1" applyBorder="1" applyAlignment="1" applyProtection="1">
      <alignment vertical="center" wrapText="1"/>
      <protection hidden="1"/>
    </xf>
    <xf numFmtId="0" fontId="0" fillId="0" borderId="14" xfId="0" applyFont="1" applyBorder="1" applyAlignment="1" applyProtection="1">
      <alignment vertical="center" wrapText="1"/>
      <protection hidden="1"/>
    </xf>
    <xf numFmtId="0" fontId="0" fillId="0" borderId="15" xfId="0" applyFont="1" applyBorder="1" applyAlignment="1" applyProtection="1">
      <alignment vertical="center" wrapText="1"/>
      <protection hidden="1"/>
    </xf>
    <xf numFmtId="0" fontId="0" fillId="0" borderId="16" xfId="0" applyFont="1" applyBorder="1" applyAlignment="1" applyProtection="1">
      <alignment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5" fillId="2" borderId="8" xfId="0" applyFont="1" applyFill="1" applyBorder="1" applyAlignment="1" applyProtection="1">
      <alignment vertical="center"/>
      <protection hidden="1"/>
    </xf>
    <xf numFmtId="0" fontId="5" fillId="6" borderId="8" xfId="0" applyFont="1" applyFill="1" applyBorder="1" applyAlignment="1" applyProtection="1">
      <alignment vertical="center"/>
      <protection hidden="1"/>
    </xf>
    <xf numFmtId="0" fontId="5" fillId="7" borderId="8" xfId="0" applyFont="1" applyFill="1" applyBorder="1" applyAlignment="1" applyProtection="1">
      <alignment vertical="center"/>
      <protection hidden="1"/>
    </xf>
    <xf numFmtId="0" fontId="1" fillId="0" borderId="17" xfId="0" applyFont="1" applyFill="1" applyBorder="1" applyAlignment="1" applyProtection="1">
      <alignment horizontal="center" vertical="center" textRotation="90"/>
      <protection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 horizontal="center"/>
      <protection hidden="1"/>
    </xf>
    <xf numFmtId="0" fontId="2" fillId="0" borderId="2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 shrinkToFit="1"/>
      <protection hidden="1"/>
    </xf>
    <xf numFmtId="0" fontId="0" fillId="0" borderId="0" xfId="0" applyFont="1" applyAlignment="1" applyProtection="1">
      <alignment/>
      <protection hidden="1"/>
    </xf>
    <xf numFmtId="49" fontId="6" fillId="0" borderId="0" xfId="0" applyNumberFormat="1" applyFont="1" applyAlignment="1" applyProtection="1">
      <alignment/>
      <protection hidden="1"/>
    </xf>
    <xf numFmtId="1" fontId="6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" fillId="4" borderId="21" xfId="0" applyFont="1" applyFill="1" applyBorder="1" applyAlignment="1" applyProtection="1">
      <alignment horizontal="center" vertical="center"/>
      <protection hidden="1"/>
    </xf>
    <xf numFmtId="0" fontId="2" fillId="9" borderId="22" xfId="0" applyFont="1" applyFill="1" applyBorder="1" applyAlignment="1" applyProtection="1">
      <alignment horizontal="center" vertical="center" textRotation="90"/>
      <protection hidden="1"/>
    </xf>
    <xf numFmtId="0" fontId="2" fillId="2" borderId="21" xfId="0" applyFont="1" applyFill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horizontal="center" vertical="center"/>
      <protection hidden="1"/>
    </xf>
    <xf numFmtId="0" fontId="2" fillId="2" borderId="10" xfId="0" applyFont="1" applyFill="1" applyBorder="1" applyAlignment="1" applyProtection="1">
      <alignment horizontal="center" vertical="center"/>
      <protection hidden="1"/>
    </xf>
    <xf numFmtId="0" fontId="2" fillId="2" borderId="24" xfId="0" applyFont="1" applyFill="1" applyBorder="1" applyAlignment="1" applyProtection="1">
      <alignment horizontal="center" vertical="center"/>
      <protection hidden="1"/>
    </xf>
    <xf numFmtId="0" fontId="2" fillId="9" borderId="25" xfId="0" applyFont="1" applyFill="1" applyBorder="1" applyAlignment="1" applyProtection="1">
      <alignment horizontal="center" vertical="center" textRotation="90"/>
      <protection hidden="1"/>
    </xf>
    <xf numFmtId="0" fontId="2" fillId="8" borderId="1" xfId="0" applyFont="1" applyFill="1" applyBorder="1" applyAlignment="1" applyProtection="1">
      <alignment horizontal="left"/>
      <protection hidden="1"/>
    </xf>
    <xf numFmtId="0" fontId="2" fillId="8" borderId="1" xfId="0" applyFont="1" applyFill="1" applyBorder="1" applyAlignment="1" applyProtection="1">
      <alignment horizontal="left"/>
      <protection hidden="1"/>
    </xf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1" xfId="0" applyFont="1" applyFill="1" applyBorder="1" applyAlignment="1" applyProtection="1">
      <alignment horizontal="left"/>
      <protection hidden="1"/>
    </xf>
    <xf numFmtId="1" fontId="11" fillId="8" borderId="11" xfId="0" applyNumberFormat="1" applyFont="1" applyFill="1" applyBorder="1" applyAlignment="1" applyProtection="1">
      <alignment horizontal="center"/>
      <protection hidden="1"/>
    </xf>
    <xf numFmtId="1" fontId="11" fillId="8" borderId="6" xfId="0" applyNumberFormat="1" applyFont="1" applyFill="1" applyBorder="1" applyAlignment="1" applyProtection="1">
      <alignment horizontal="center"/>
      <protection hidden="1"/>
    </xf>
    <xf numFmtId="0" fontId="2" fillId="6" borderId="1" xfId="0" applyFont="1" applyFill="1" applyBorder="1" applyAlignment="1" applyProtection="1">
      <alignment horizontal="left"/>
      <protection hidden="1"/>
    </xf>
    <xf numFmtId="0" fontId="2" fillId="6" borderId="1" xfId="0" applyFont="1" applyFill="1" applyBorder="1" applyAlignment="1" applyProtection="1">
      <alignment horizontal="left"/>
      <protection hidden="1"/>
    </xf>
    <xf numFmtId="1" fontId="11" fillId="6" borderId="11" xfId="0" applyNumberFormat="1" applyFont="1" applyFill="1" applyBorder="1" applyAlignment="1" applyProtection="1">
      <alignment horizontal="center"/>
      <protection hidden="1"/>
    </xf>
    <xf numFmtId="0" fontId="2" fillId="7" borderId="24" xfId="0" applyFont="1" applyFill="1" applyBorder="1" applyAlignment="1" applyProtection="1">
      <alignment horizontal="center" vertical="center"/>
      <protection hidden="1"/>
    </xf>
    <xf numFmtId="0" fontId="2" fillId="7" borderId="1" xfId="0" applyFont="1" applyFill="1" applyBorder="1" applyAlignment="1" applyProtection="1">
      <alignment horizontal="left"/>
      <protection hidden="1"/>
    </xf>
    <xf numFmtId="0" fontId="2" fillId="7" borderId="1" xfId="0" applyFont="1" applyFill="1" applyBorder="1" applyAlignment="1" applyProtection="1">
      <alignment horizontal="left"/>
      <protection hidden="1"/>
    </xf>
    <xf numFmtId="1" fontId="11" fillId="7" borderId="11" xfId="0" applyNumberFormat="1" applyFont="1" applyFill="1" applyBorder="1" applyAlignment="1" applyProtection="1">
      <alignment horizontal="center"/>
      <protection hidden="1"/>
    </xf>
    <xf numFmtId="0" fontId="2" fillId="7" borderId="10" xfId="0" applyFont="1" applyFill="1" applyBorder="1" applyAlignment="1" applyProtection="1">
      <alignment horizontal="center" vertical="center"/>
      <protection hidden="1"/>
    </xf>
    <xf numFmtId="0" fontId="2" fillId="7" borderId="26" xfId="0" applyFont="1" applyFill="1" applyBorder="1" applyAlignment="1" applyProtection="1">
      <alignment horizontal="center" vertical="center"/>
      <protection hidden="1"/>
    </xf>
    <xf numFmtId="0" fontId="2" fillId="6" borderId="21" xfId="0" applyFont="1" applyFill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vertical="center" wrapText="1"/>
      <protection hidden="1"/>
    </xf>
    <xf numFmtId="198" fontId="2" fillId="0" borderId="27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189" fontId="11" fillId="0" borderId="5" xfId="0" applyNumberFormat="1" applyFont="1" applyFill="1" applyBorder="1" applyAlignment="1" applyProtection="1">
      <alignment horizontal="center" vertical="center"/>
      <protection hidden="1"/>
    </xf>
    <xf numFmtId="0" fontId="24" fillId="0" borderId="1" xfId="0" applyFont="1" applyBorder="1" applyAlignment="1" applyProtection="1">
      <alignment horizontal="center" vertical="center"/>
      <protection hidden="1"/>
    </xf>
    <xf numFmtId="0" fontId="0" fillId="10" borderId="2" xfId="0" applyFont="1" applyFill="1" applyBorder="1" applyAlignment="1" applyProtection="1">
      <alignment horizontal="center"/>
      <protection hidden="1"/>
    </xf>
    <xf numFmtId="198" fontId="2" fillId="0" borderId="6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vertical="center" wrapText="1"/>
      <protection hidden="1"/>
    </xf>
    <xf numFmtId="0" fontId="24" fillId="2" borderId="13" xfId="0" applyFont="1" applyFill="1" applyBorder="1" applyAlignment="1" applyProtection="1">
      <alignment vertical="center"/>
      <protection hidden="1"/>
    </xf>
    <xf numFmtId="0" fontId="0" fillId="0" borderId="16" xfId="0" applyFont="1" applyBorder="1" applyAlignment="1" applyProtection="1">
      <alignment vertical="center" wrapText="1"/>
      <protection hidden="1"/>
    </xf>
    <xf numFmtId="0" fontId="24" fillId="6" borderId="13" xfId="0" applyFont="1" applyFill="1" applyBorder="1" applyAlignment="1" applyProtection="1">
      <alignment vertical="center"/>
      <protection hidden="1"/>
    </xf>
    <xf numFmtId="1" fontId="2" fillId="0" borderId="0" xfId="0" applyNumberFormat="1" applyFont="1" applyAlignment="1" applyProtection="1">
      <alignment horizontal="right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0" fontId="35" fillId="0" borderId="0" xfId="0" applyFont="1" applyBorder="1" applyAlignment="1" applyProtection="1">
      <alignment horizontal="center" vertical="center" textRotation="90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1" fontId="11" fillId="0" borderId="30" xfId="0" applyNumberFormat="1" applyFont="1" applyFill="1" applyBorder="1" applyAlignment="1" applyProtection="1">
      <alignment horizontal="center" vertical="center"/>
      <protection hidden="1"/>
    </xf>
    <xf numFmtId="0" fontId="0" fillId="0" borderId="30" xfId="0" applyFill="1" applyBorder="1" applyAlignment="1" applyProtection="1">
      <alignment horizontal="center" vertical="center"/>
      <protection hidden="1"/>
    </xf>
    <xf numFmtId="189" fontId="11" fillId="0" borderId="30" xfId="0" applyNumberFormat="1" applyFont="1" applyFill="1" applyBorder="1" applyAlignment="1" applyProtection="1">
      <alignment horizontal="center" vertical="center"/>
      <protection hidden="1"/>
    </xf>
    <xf numFmtId="1" fontId="11" fillId="0" borderId="3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2" fillId="0" borderId="28" xfId="0" applyFont="1" applyBorder="1" applyAlignment="1" applyProtection="1">
      <alignment/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1" fontId="2" fillId="5" borderId="1" xfId="0" applyNumberFormat="1" applyFont="1" applyFill="1" applyBorder="1" applyAlignment="1" applyProtection="1">
      <alignment horizontal="center" vertical="center"/>
      <protection hidden="1"/>
    </xf>
    <xf numFmtId="0" fontId="2" fillId="4" borderId="1" xfId="0" applyFont="1" applyFill="1" applyBorder="1" applyAlignment="1" applyProtection="1">
      <alignment horizontal="center" vertical="center"/>
      <protection hidden="1"/>
    </xf>
    <xf numFmtId="1" fontId="2" fillId="4" borderId="1" xfId="0" applyNumberFormat="1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1" fontId="2" fillId="2" borderId="1" xfId="0" applyNumberFormat="1" applyFont="1" applyFill="1" applyBorder="1" applyAlignment="1" applyProtection="1">
      <alignment horizontal="center" vertical="center"/>
      <protection hidden="1"/>
    </xf>
    <xf numFmtId="0" fontId="2" fillId="6" borderId="1" xfId="0" applyFont="1" applyFill="1" applyBorder="1" applyAlignment="1" applyProtection="1">
      <alignment horizontal="center" vertical="center"/>
      <protection hidden="1"/>
    </xf>
    <xf numFmtId="1" fontId="2" fillId="6" borderId="1" xfId="0" applyNumberFormat="1" applyFont="1" applyFill="1" applyBorder="1" applyAlignment="1" applyProtection="1">
      <alignment horizontal="center" vertical="center"/>
      <protection hidden="1"/>
    </xf>
    <xf numFmtId="0" fontId="2" fillId="7" borderId="1" xfId="0" applyFont="1" applyFill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/>
      <protection hidden="1"/>
    </xf>
    <xf numFmtId="0" fontId="2" fillId="0" borderId="31" xfId="0" applyFont="1" applyBorder="1" applyAlignment="1" applyProtection="1">
      <alignment/>
      <protection hidden="1"/>
    </xf>
    <xf numFmtId="0" fontId="2" fillId="0" borderId="32" xfId="0" applyFont="1" applyBorder="1" applyAlignment="1" applyProtection="1">
      <alignment/>
      <protection hidden="1"/>
    </xf>
    <xf numFmtId="0" fontId="0" fillId="0" borderId="33" xfId="0" applyFont="1" applyBorder="1" applyAlignment="1" applyProtection="1">
      <alignment/>
      <protection hidden="1"/>
    </xf>
    <xf numFmtId="0" fontId="2" fillId="0" borderId="33" xfId="0" applyFont="1" applyBorder="1" applyAlignment="1" applyProtection="1">
      <alignment/>
      <protection hidden="1"/>
    </xf>
    <xf numFmtId="0" fontId="2" fillId="0" borderId="34" xfId="0" applyFont="1" applyBorder="1" applyAlignment="1" applyProtection="1">
      <alignment horizontal="center" vertical="center" wrapText="1"/>
      <protection hidden="1"/>
    </xf>
    <xf numFmtId="0" fontId="0" fillId="0" borderId="35" xfId="0" applyFont="1" applyBorder="1" applyAlignment="1" applyProtection="1">
      <alignment/>
      <protection hidden="1"/>
    </xf>
    <xf numFmtId="0" fontId="2" fillId="4" borderId="23" xfId="0" applyFont="1" applyFill="1" applyBorder="1" applyAlignment="1" applyProtection="1">
      <alignment horizontal="center" vertical="center"/>
      <protection hidden="1"/>
    </xf>
    <xf numFmtId="0" fontId="0" fillId="0" borderId="36" xfId="0" applyFont="1" applyFill="1" applyBorder="1" applyAlignment="1" applyProtection="1">
      <alignment horizontal="center"/>
      <protection hidden="1"/>
    </xf>
    <xf numFmtId="0" fontId="0" fillId="0" borderId="37" xfId="0" applyFont="1" applyFill="1" applyBorder="1" applyAlignment="1" applyProtection="1">
      <alignment horizontal="center"/>
      <protection hidden="1"/>
    </xf>
    <xf numFmtId="0" fontId="0" fillId="0" borderId="38" xfId="0" applyFont="1" applyFill="1" applyBorder="1" applyAlignment="1" applyProtection="1">
      <alignment horizontal="center" shrinkToFit="1"/>
      <protection hidden="1"/>
    </xf>
    <xf numFmtId="0" fontId="0" fillId="0" borderId="39" xfId="0" applyFont="1" applyFill="1" applyBorder="1" applyAlignment="1" applyProtection="1">
      <alignment horizontal="center" shrinkToFit="1"/>
      <protection hidden="1"/>
    </xf>
    <xf numFmtId="0" fontId="0" fillId="0" borderId="33" xfId="0" applyFont="1" applyFill="1" applyBorder="1" applyAlignment="1" applyProtection="1">
      <alignment horizontal="center" shrinkToFit="1"/>
      <protection hidden="1"/>
    </xf>
    <xf numFmtId="0" fontId="0" fillId="0" borderId="33" xfId="0" applyFont="1" applyBorder="1" applyAlignment="1" applyProtection="1">
      <alignment horizontal="center"/>
      <protection hidden="1"/>
    </xf>
    <xf numFmtId="9" fontId="2" fillId="2" borderId="36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33" xfId="0" applyFont="1" applyBorder="1" applyAlignment="1" applyProtection="1">
      <alignment/>
      <protection hidden="1"/>
    </xf>
    <xf numFmtId="0" fontId="2" fillId="0" borderId="40" xfId="0" applyFont="1" applyBorder="1" applyAlignment="1" applyProtection="1">
      <alignment vertical="center"/>
      <protection/>
    </xf>
    <xf numFmtId="0" fontId="2" fillId="0" borderId="41" xfId="0" applyFont="1" applyBorder="1" applyAlignment="1" applyProtection="1">
      <alignment vertical="center"/>
      <protection/>
    </xf>
    <xf numFmtId="0" fontId="2" fillId="0" borderId="40" xfId="0" applyFont="1" applyBorder="1" applyAlignment="1" applyProtection="1">
      <alignment horizontal="left" vertical="center"/>
      <protection hidden="1"/>
    </xf>
    <xf numFmtId="0" fontId="24" fillId="0" borderId="41" xfId="0" applyFont="1" applyBorder="1" applyAlignment="1" applyProtection="1">
      <alignment horizontal="center" vertical="center"/>
      <protection hidden="1"/>
    </xf>
    <xf numFmtId="0" fontId="0" fillId="10" borderId="38" xfId="0" applyFont="1" applyFill="1" applyBorder="1" applyAlignment="1" applyProtection="1">
      <alignment horizontal="center" shrinkToFit="1"/>
      <protection hidden="1"/>
    </xf>
    <xf numFmtId="0" fontId="0" fillId="10" borderId="12" xfId="0" applyFont="1" applyFill="1" applyBorder="1" applyAlignment="1" applyProtection="1">
      <alignment horizontal="center" shrinkToFit="1"/>
      <protection hidden="1"/>
    </xf>
    <xf numFmtId="0" fontId="0" fillId="0" borderId="0" xfId="0" applyAlignment="1" applyProtection="1">
      <alignment/>
      <protection hidden="1"/>
    </xf>
    <xf numFmtId="0" fontId="0" fillId="0" borderId="3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0" fillId="0" borderId="1" xfId="0" applyFont="1" applyFill="1" applyBorder="1" applyAlignment="1" applyProtection="1">
      <alignment horizontal="center"/>
      <protection hidden="1"/>
    </xf>
    <xf numFmtId="0" fontId="0" fillId="0" borderId="1" xfId="0" applyFont="1" applyFill="1" applyBorder="1" applyAlignment="1" applyProtection="1">
      <alignment horizontal="center"/>
      <protection hidden="1"/>
    </xf>
    <xf numFmtId="0" fontId="0" fillId="10" borderId="1" xfId="0" applyFont="1" applyFill="1" applyBorder="1" applyAlignment="1" applyProtection="1">
      <alignment horizontal="center"/>
      <protection hidden="1"/>
    </xf>
    <xf numFmtId="0" fontId="2" fillId="0" borderId="27" xfId="0" applyFont="1" applyBorder="1" applyAlignment="1" applyProtection="1">
      <alignment horizontal="right" vertical="top"/>
      <protection/>
    </xf>
    <xf numFmtId="0" fontId="2" fillId="0" borderId="42" xfId="0" applyFont="1" applyBorder="1" applyAlignment="1" applyProtection="1">
      <alignment/>
      <protection/>
    </xf>
    <xf numFmtId="0" fontId="2" fillId="4" borderId="23" xfId="0" applyFont="1" applyFill="1" applyBorder="1" applyAlignment="1" applyProtection="1">
      <alignment horizontal="center"/>
      <protection/>
    </xf>
    <xf numFmtId="0" fontId="1" fillId="0" borderId="43" xfId="0" applyFont="1" applyFill="1" applyBorder="1" applyAlignment="1" applyProtection="1">
      <alignment horizontal="center" vertical="center" textRotation="90"/>
      <protection/>
    </xf>
    <xf numFmtId="0" fontId="0" fillId="0" borderId="36" xfId="0" applyFont="1" applyFill="1" applyBorder="1" applyAlignment="1" applyProtection="1">
      <alignment horizontal="center"/>
      <protection locked="0"/>
    </xf>
    <xf numFmtId="0" fontId="2" fillId="4" borderId="44" xfId="0" applyFont="1" applyFill="1" applyBorder="1" applyAlignment="1" applyProtection="1">
      <alignment horizontal="center" vertical="center"/>
      <protection hidden="1"/>
    </xf>
    <xf numFmtId="0" fontId="2" fillId="4" borderId="18" xfId="0" applyFont="1" applyFill="1" applyBorder="1" applyAlignment="1" applyProtection="1">
      <alignment horizontal="center" vertical="center"/>
      <protection hidden="1"/>
    </xf>
    <xf numFmtId="0" fontId="2" fillId="9" borderId="45" xfId="0" applyFont="1" applyFill="1" applyBorder="1" applyAlignment="1" applyProtection="1">
      <alignment horizontal="center" vertical="center" textRotation="90"/>
      <protection hidden="1"/>
    </xf>
    <xf numFmtId="0" fontId="2" fillId="9" borderId="46" xfId="0" applyFont="1" applyFill="1" applyBorder="1" applyAlignment="1" applyProtection="1">
      <alignment horizontal="center" vertical="center" textRotation="90"/>
      <protection hidden="1"/>
    </xf>
    <xf numFmtId="1" fontId="2" fillId="7" borderId="47" xfId="0" applyNumberFormat="1" applyFont="1" applyFill="1" applyBorder="1" applyAlignment="1" applyProtection="1">
      <alignment horizontal="center" vertical="center"/>
      <protection hidden="1"/>
    </xf>
    <xf numFmtId="1" fontId="11" fillId="7" borderId="47" xfId="0" applyNumberFormat="1" applyFont="1" applyFill="1" applyBorder="1" applyAlignment="1" applyProtection="1">
      <alignment horizontal="center"/>
      <protection hidden="1"/>
    </xf>
    <xf numFmtId="0" fontId="2" fillId="0" borderId="39" xfId="0" applyFont="1" applyBorder="1" applyAlignment="1" applyProtection="1">
      <alignment horizontal="right" vertical="center" wrapText="1"/>
      <protection hidden="1"/>
    </xf>
    <xf numFmtId="0" fontId="2" fillId="0" borderId="33" xfId="0" applyFont="1" applyBorder="1" applyAlignment="1" applyProtection="1">
      <alignment horizontal="right" vertical="center"/>
      <protection hidden="1"/>
    </xf>
    <xf numFmtId="0" fontId="0" fillId="0" borderId="39" xfId="0" applyFont="1" applyBorder="1" applyAlignment="1" applyProtection="1">
      <alignment/>
      <protection hidden="1"/>
    </xf>
    <xf numFmtId="1" fontId="11" fillId="0" borderId="48" xfId="0" applyNumberFormat="1" applyFont="1" applyFill="1" applyBorder="1" applyAlignment="1" applyProtection="1">
      <alignment horizontal="center" vertical="center"/>
      <protection hidden="1"/>
    </xf>
    <xf numFmtId="1" fontId="11" fillId="0" borderId="49" xfId="0" applyNumberFormat="1" applyFont="1" applyFill="1" applyBorder="1" applyAlignment="1" applyProtection="1">
      <alignment horizontal="center" vertical="center"/>
      <protection hidden="1"/>
    </xf>
    <xf numFmtId="1" fontId="11" fillId="0" borderId="50" xfId="0" applyNumberFormat="1" applyFont="1" applyFill="1" applyBorder="1" applyAlignment="1" applyProtection="1">
      <alignment horizontal="center" vertical="center"/>
      <protection hidden="1"/>
    </xf>
    <xf numFmtId="0" fontId="2" fillId="4" borderId="24" xfId="0" applyFont="1" applyFill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0" fontId="0" fillId="0" borderId="52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 hidden="1"/>
    </xf>
    <xf numFmtId="0" fontId="2" fillId="0" borderId="19" xfId="0" applyFont="1" applyFill="1" applyBorder="1" applyAlignment="1" applyProtection="1">
      <alignment/>
      <protection hidden="1"/>
    </xf>
    <xf numFmtId="0" fontId="0" fillId="0" borderId="19" xfId="0" applyFont="1" applyBorder="1" applyAlignment="1" applyProtection="1">
      <alignment/>
      <protection hidden="1"/>
    </xf>
    <xf numFmtId="0" fontId="2" fillId="0" borderId="5" xfId="0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27" xfId="0" applyFont="1" applyBorder="1" applyAlignment="1" applyProtection="1">
      <alignment/>
      <protection/>
    </xf>
    <xf numFmtId="0" fontId="24" fillId="0" borderId="0" xfId="0" applyNumberFormat="1" applyFont="1" applyBorder="1" applyAlignment="1" applyProtection="1">
      <alignment horizontal="left" vertical="center"/>
      <protection hidden="1"/>
    </xf>
    <xf numFmtId="0" fontId="0" fillId="0" borderId="53" xfId="0" applyFont="1" applyFill="1" applyBorder="1" applyAlignment="1" applyProtection="1">
      <alignment horizontal="center"/>
      <protection hidden="1"/>
    </xf>
    <xf numFmtId="0" fontId="0" fillId="0" borderId="54" xfId="0" applyFont="1" applyFill="1" applyBorder="1" applyAlignment="1" applyProtection="1">
      <alignment horizontal="center"/>
      <protection hidden="1"/>
    </xf>
    <xf numFmtId="0" fontId="2" fillId="4" borderId="10" xfId="0" applyFont="1" applyFill="1" applyBorder="1" applyAlignment="1" applyProtection="1">
      <alignment horizontal="center" vertical="center"/>
      <protection hidden="1"/>
    </xf>
    <xf numFmtId="1" fontId="11" fillId="0" borderId="55" xfId="0" applyNumberFormat="1" applyFont="1" applyFill="1" applyBorder="1" applyAlignment="1" applyProtection="1">
      <alignment horizontal="center" vertical="center"/>
      <protection hidden="1"/>
    </xf>
    <xf numFmtId="0" fontId="0" fillId="0" borderId="38" xfId="0" applyFont="1" applyFill="1" applyBorder="1" applyAlignment="1" applyProtection="1">
      <alignment horizontal="center"/>
      <protection hidden="1"/>
    </xf>
    <xf numFmtId="0" fontId="2" fillId="0" borderId="56" xfId="0" applyFont="1" applyBorder="1" applyAlignment="1" applyProtection="1">
      <alignment horizontal="left"/>
      <protection hidden="1"/>
    </xf>
    <xf numFmtId="0" fontId="2" fillId="0" borderId="28" xfId="0" applyFont="1" applyBorder="1" applyAlignment="1" applyProtection="1">
      <alignment horizontal="left"/>
      <protection hidden="1"/>
    </xf>
    <xf numFmtId="0" fontId="0" fillId="0" borderId="4" xfId="0" applyFont="1" applyBorder="1" applyAlignment="1" applyProtection="1">
      <alignment/>
      <protection hidden="1"/>
    </xf>
    <xf numFmtId="0" fontId="0" fillId="0" borderId="13" xfId="0" applyFont="1" applyBorder="1" applyAlignment="1" applyProtection="1">
      <alignment vertical="center" wrapText="1"/>
      <protection hidden="1"/>
    </xf>
    <xf numFmtId="0" fontId="0" fillId="0" borderId="13" xfId="0" applyFont="1" applyBorder="1" applyAlignment="1" applyProtection="1">
      <alignment vertical="center" wrapText="1"/>
      <protection hidden="1"/>
    </xf>
    <xf numFmtId="0" fontId="11" fillId="4" borderId="57" xfId="0" applyFont="1" applyFill="1" applyBorder="1" applyAlignment="1" applyProtection="1">
      <alignment horizontal="center" vertical="center" wrapText="1"/>
      <protection hidden="1"/>
    </xf>
    <xf numFmtId="0" fontId="11" fillId="4" borderId="58" xfId="0" applyFont="1" applyFill="1" applyBorder="1" applyAlignment="1" applyProtection="1">
      <alignment horizontal="center" vertical="center" wrapText="1"/>
      <protection hidden="1"/>
    </xf>
    <xf numFmtId="1" fontId="11" fillId="2" borderId="57" xfId="0" applyNumberFormat="1" applyFont="1" applyFill="1" applyBorder="1" applyAlignment="1" applyProtection="1">
      <alignment horizontal="center" vertical="center" wrapText="1"/>
      <protection hidden="1"/>
    </xf>
    <xf numFmtId="1" fontId="11" fillId="2" borderId="58" xfId="0" applyNumberFormat="1" applyFont="1" applyFill="1" applyBorder="1" applyAlignment="1" applyProtection="1">
      <alignment horizontal="center" vertical="center" wrapText="1"/>
      <protection hidden="1"/>
    </xf>
    <xf numFmtId="1" fontId="11" fillId="0" borderId="26" xfId="0" applyNumberFormat="1" applyFont="1" applyFill="1" applyBorder="1" applyAlignment="1" applyProtection="1">
      <alignment horizontal="center" vertical="center"/>
      <protection hidden="1"/>
    </xf>
    <xf numFmtId="0" fontId="38" fillId="0" borderId="0" xfId="0" applyFont="1" applyFill="1" applyAlignment="1">
      <alignment/>
    </xf>
    <xf numFmtId="0" fontId="0" fillId="0" borderId="0" xfId="0" applyFill="1" applyAlignment="1">
      <alignment/>
    </xf>
    <xf numFmtId="0" fontId="3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 applyProtection="1">
      <alignment/>
      <protection hidden="1"/>
    </xf>
    <xf numFmtId="0" fontId="0" fillId="0" borderId="33" xfId="0" applyBorder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189" fontId="0" fillId="0" borderId="0" xfId="0" applyNumberFormat="1" applyAlignment="1" applyProtection="1">
      <alignment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4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11" borderId="6" xfId="0" applyFont="1" applyFill="1" applyBorder="1" applyAlignment="1" applyProtection="1">
      <alignment vertical="center"/>
      <protection hidden="1"/>
    </xf>
    <xf numFmtId="0" fontId="2" fillId="12" borderId="6" xfId="0" applyFont="1" applyFill="1" applyBorder="1" applyAlignment="1" applyProtection="1">
      <alignment vertical="center"/>
      <protection hidden="1"/>
    </xf>
    <xf numFmtId="0" fontId="2" fillId="13" borderId="6" xfId="0" applyFont="1" applyFill="1" applyBorder="1" applyAlignment="1" applyProtection="1">
      <alignment vertical="center"/>
      <protection hidden="1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2" xfId="0" applyBorder="1" applyAlignment="1">
      <alignment/>
    </xf>
    <xf numFmtId="0" fontId="0" fillId="0" borderId="11" xfId="0" applyFont="1" applyBorder="1" applyAlignment="1" applyProtection="1">
      <alignment horizontal="left"/>
      <protection hidden="1"/>
    </xf>
    <xf numFmtId="0" fontId="0" fillId="0" borderId="14" xfId="0" applyFont="1" applyBorder="1" applyAlignment="1" applyProtection="1">
      <alignment horizontal="left"/>
      <protection hidden="1"/>
    </xf>
    <xf numFmtId="0" fontId="0" fillId="0" borderId="59" xfId="0" applyFont="1" applyBorder="1" applyAlignment="1" applyProtection="1">
      <alignment horizontal="left"/>
      <protection hidden="1"/>
    </xf>
    <xf numFmtId="0" fontId="0" fillId="0" borderId="60" xfId="0" applyBorder="1" applyAlignment="1">
      <alignment/>
    </xf>
    <xf numFmtId="0" fontId="2" fillId="0" borderId="61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/>
    </xf>
    <xf numFmtId="0" fontId="35" fillId="0" borderId="0" xfId="0" applyFont="1" applyBorder="1" applyAlignment="1" applyProtection="1">
      <alignment horizontal="center" vertical="center" textRotation="90"/>
      <protection hidden="1"/>
    </xf>
    <xf numFmtId="0" fontId="0" fillId="14" borderId="2" xfId="0" applyFont="1" applyFill="1" applyBorder="1" applyAlignment="1" applyProtection="1">
      <alignment horizontal="center"/>
      <protection locked="0"/>
    </xf>
    <xf numFmtId="9" fontId="2" fillId="14" borderId="1" xfId="0" applyNumberFormat="1" applyFont="1" applyFill="1" applyBorder="1" applyAlignment="1" applyProtection="1">
      <alignment horizontal="center" vertical="center" shrinkToFit="1"/>
      <protection hidden="1"/>
    </xf>
    <xf numFmtId="0" fontId="41" fillId="15" borderId="17" xfId="0" applyFont="1" applyFill="1" applyBorder="1" applyAlignment="1" applyProtection="1">
      <alignment horizontal="center" vertical="center" textRotation="90"/>
      <protection/>
    </xf>
    <xf numFmtId="0" fontId="11" fillId="14" borderId="22" xfId="0" applyFont="1" applyFill="1" applyBorder="1" applyAlignment="1" applyProtection="1">
      <alignment horizontal="center" vertical="center" textRotation="90"/>
      <protection hidden="1"/>
    </xf>
    <xf numFmtId="0" fontId="0" fillId="14" borderId="12" xfId="0" applyFont="1" applyFill="1" applyBorder="1" applyAlignment="1" applyProtection="1">
      <alignment horizontal="center"/>
      <protection hidden="1"/>
    </xf>
    <xf numFmtId="1" fontId="11" fillId="0" borderId="6" xfId="0" applyNumberFormat="1" applyFont="1" applyFill="1" applyBorder="1" applyAlignment="1" applyProtection="1">
      <alignment horizontal="center"/>
      <protection hidden="1"/>
    </xf>
    <xf numFmtId="1" fontId="11" fillId="0" borderId="1" xfId="0" applyNumberFormat="1" applyFont="1" applyFill="1" applyBorder="1" applyAlignment="1" applyProtection="1">
      <alignment horizontal="center"/>
      <protection hidden="1"/>
    </xf>
    <xf numFmtId="1" fontId="11" fillId="0" borderId="47" xfId="0" applyNumberFormat="1" applyFont="1" applyFill="1" applyBorder="1" applyAlignment="1" applyProtection="1">
      <alignment horizontal="center"/>
      <protection hidden="1"/>
    </xf>
    <xf numFmtId="0" fontId="2" fillId="14" borderId="19" xfId="0" applyFont="1" applyFill="1" applyBorder="1" applyAlignment="1" applyProtection="1">
      <alignment/>
      <protection hidden="1"/>
    </xf>
    <xf numFmtId="0" fontId="0" fillId="14" borderId="1" xfId="0" applyFill="1" applyBorder="1" applyAlignment="1">
      <alignment/>
    </xf>
    <xf numFmtId="9" fontId="0" fillId="14" borderId="1" xfId="0" applyNumberFormat="1" applyFill="1" applyBorder="1" applyAlignment="1">
      <alignment horizontal="center"/>
    </xf>
    <xf numFmtId="9" fontId="21" fillId="14" borderId="1" xfId="0" applyNumberFormat="1" applyFont="1" applyFill="1" applyBorder="1" applyAlignment="1">
      <alignment horizontal="center"/>
    </xf>
    <xf numFmtId="0" fontId="2" fillId="4" borderId="0" xfId="0" applyFont="1" applyFill="1" applyBorder="1" applyAlignment="1" applyProtection="1">
      <alignment/>
      <protection hidden="1"/>
    </xf>
    <xf numFmtId="198" fontId="11" fillId="4" borderId="3" xfId="0" applyNumberFormat="1" applyFont="1" applyFill="1" applyBorder="1" applyAlignment="1" applyProtection="1">
      <alignment horizontal="center"/>
      <protection hidden="1"/>
    </xf>
    <xf numFmtId="0" fontId="2" fillId="4" borderId="0" xfId="0" applyFont="1" applyFill="1" applyBorder="1" applyAlignment="1" applyProtection="1">
      <alignment horizontal="left"/>
      <protection hidden="1"/>
    </xf>
    <xf numFmtId="198" fontId="11" fillId="4" borderId="0" xfId="0" applyNumberFormat="1" applyFont="1" applyFill="1" applyBorder="1" applyAlignment="1" applyProtection="1">
      <alignment horizontal="center"/>
      <protection hidden="1"/>
    </xf>
    <xf numFmtId="0" fontId="2" fillId="8" borderId="0" xfId="0" applyFont="1" applyFill="1" applyBorder="1" applyAlignment="1" applyProtection="1">
      <alignment horizontal="left"/>
      <protection hidden="1"/>
    </xf>
    <xf numFmtId="198" fontId="11" fillId="2" borderId="0" xfId="0" applyNumberFormat="1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left"/>
      <protection hidden="1"/>
    </xf>
    <xf numFmtId="0" fontId="2" fillId="6" borderId="0" xfId="0" applyFont="1" applyFill="1" applyBorder="1" applyAlignment="1" applyProtection="1">
      <alignment horizontal="left"/>
      <protection hidden="1"/>
    </xf>
    <xf numFmtId="198" fontId="11" fillId="6" borderId="0" xfId="0" applyNumberFormat="1" applyFont="1" applyFill="1" applyBorder="1" applyAlignment="1" applyProtection="1">
      <alignment horizontal="center"/>
      <protection hidden="1"/>
    </xf>
    <xf numFmtId="0" fontId="2" fillId="7" borderId="0" xfId="0" applyFont="1" applyFill="1" applyBorder="1" applyAlignment="1" applyProtection="1">
      <alignment horizontal="left"/>
      <protection hidden="1"/>
    </xf>
    <xf numFmtId="198" fontId="11" fillId="7" borderId="7" xfId="0" applyNumberFormat="1" applyFont="1" applyFill="1" applyBorder="1" applyAlignment="1" applyProtection="1">
      <alignment horizontal="center"/>
      <protection hidden="1"/>
    </xf>
    <xf numFmtId="0" fontId="0" fillId="0" borderId="28" xfId="0" applyFont="1" applyBorder="1" applyAlignment="1" applyProtection="1">
      <alignment/>
      <protection hidden="1"/>
    </xf>
    <xf numFmtId="0" fontId="0" fillId="0" borderId="59" xfId="0" applyFont="1" applyFill="1" applyBorder="1" applyAlignment="1" applyProtection="1">
      <alignment horizontal="center" shrinkToFit="1"/>
      <protection hidden="1"/>
    </xf>
    <xf numFmtId="9" fontId="11" fillId="5" borderId="1" xfId="0" applyNumberFormat="1" applyFont="1" applyFill="1" applyBorder="1" applyAlignment="1" applyProtection="1">
      <alignment horizontal="center"/>
      <protection hidden="1"/>
    </xf>
    <xf numFmtId="9" fontId="11" fillId="14" borderId="1" xfId="0" applyNumberFormat="1" applyFont="1" applyFill="1" applyBorder="1" applyAlignment="1" applyProtection="1">
      <alignment horizontal="center"/>
      <protection hidden="1"/>
    </xf>
    <xf numFmtId="9" fontId="11" fillId="4" borderId="1" xfId="0" applyNumberFormat="1" applyFont="1" applyFill="1" applyBorder="1" applyAlignment="1" applyProtection="1">
      <alignment horizontal="center"/>
      <protection hidden="1"/>
    </xf>
    <xf numFmtId="9" fontId="11" fillId="2" borderId="1" xfId="0" applyNumberFormat="1" applyFont="1" applyFill="1" applyBorder="1" applyAlignment="1" applyProtection="1">
      <alignment horizontal="center"/>
      <protection hidden="1"/>
    </xf>
    <xf numFmtId="9" fontId="11" fillId="6" borderId="1" xfId="0" applyNumberFormat="1" applyFont="1" applyFill="1" applyBorder="1" applyAlignment="1" applyProtection="1">
      <alignment horizontal="center"/>
      <protection hidden="1"/>
    </xf>
    <xf numFmtId="9" fontId="11" fillId="7" borderId="47" xfId="0" applyNumberFormat="1" applyFont="1" applyFill="1" applyBorder="1" applyAlignment="1" applyProtection="1">
      <alignment horizontal="center"/>
      <protection hidden="1"/>
    </xf>
    <xf numFmtId="9" fontId="11" fillId="4" borderId="11" xfId="0" applyNumberFormat="1" applyFont="1" applyFill="1" applyBorder="1" applyAlignment="1" applyProtection="1">
      <alignment horizontal="center"/>
      <protection hidden="1"/>
    </xf>
    <xf numFmtId="9" fontId="11" fillId="2" borderId="11" xfId="0" applyNumberFormat="1" applyFont="1" applyFill="1" applyBorder="1" applyAlignment="1" applyProtection="1">
      <alignment horizontal="center"/>
      <protection hidden="1"/>
    </xf>
    <xf numFmtId="9" fontId="11" fillId="6" borderId="11" xfId="0" applyNumberFormat="1" applyFont="1" applyFill="1" applyBorder="1" applyAlignment="1" applyProtection="1">
      <alignment horizontal="center"/>
      <protection hidden="1"/>
    </xf>
    <xf numFmtId="9" fontId="11" fillId="7" borderId="11" xfId="0" applyNumberFormat="1" applyFont="1" applyFill="1" applyBorder="1" applyAlignment="1" applyProtection="1">
      <alignment horizontal="center"/>
      <protection hidden="1"/>
    </xf>
    <xf numFmtId="9" fontId="21" fillId="14" borderId="1" xfId="21" applyFont="1" applyFill="1" applyBorder="1" applyAlignment="1">
      <alignment horizontal="center"/>
    </xf>
    <xf numFmtId="0" fontId="0" fillId="14" borderId="1" xfId="0" applyFill="1" applyBorder="1" applyAlignment="1" applyProtection="1">
      <alignment/>
      <protection hidden="1"/>
    </xf>
    <xf numFmtId="1" fontId="11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 hidden="1"/>
    </xf>
    <xf numFmtId="9" fontId="11" fillId="0" borderId="0" xfId="0" applyNumberFormat="1" applyFont="1" applyFill="1" applyBorder="1" applyAlignment="1" applyProtection="1">
      <alignment horizontal="center"/>
      <protection hidden="1"/>
    </xf>
    <xf numFmtId="0" fontId="38" fillId="0" borderId="0" xfId="0" applyFont="1" applyFill="1" applyAlignment="1">
      <alignment horizontal="left" wrapText="1"/>
    </xf>
    <xf numFmtId="0" fontId="0" fillId="0" borderId="0" xfId="0" applyFont="1" applyAlignment="1" applyProtection="1">
      <alignment horizontal="center"/>
      <protection/>
    </xf>
    <xf numFmtId="0" fontId="0" fillId="16" borderId="47" xfId="0" applyFont="1" applyFill="1" applyBorder="1" applyAlignment="1" applyProtection="1">
      <alignment horizontal="center"/>
      <protection locked="0"/>
    </xf>
    <xf numFmtId="0" fontId="0" fillId="16" borderId="2" xfId="0" applyFont="1" applyFill="1" applyBorder="1" applyAlignment="1" applyProtection="1">
      <alignment horizontal="center"/>
      <protection locked="0"/>
    </xf>
    <xf numFmtId="1" fontId="11" fillId="0" borderId="47" xfId="0" applyNumberFormat="1" applyFont="1" applyFill="1" applyBorder="1" applyAlignment="1" applyProtection="1">
      <alignment horizontal="center" vertical="center"/>
      <protection hidden="1"/>
    </xf>
    <xf numFmtId="0" fontId="0" fillId="0" borderId="50" xfId="0" applyBorder="1" applyAlignment="1" applyProtection="1">
      <alignment horizontal="center" vertical="center"/>
      <protection hidden="1"/>
    </xf>
    <xf numFmtId="1" fontId="11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63" xfId="0" applyBorder="1" applyAlignment="1" applyProtection="1">
      <alignment horizontal="center" vertical="center"/>
      <protection hidden="1"/>
    </xf>
    <xf numFmtId="0" fontId="2" fillId="7" borderId="52" xfId="0" applyFont="1" applyFill="1" applyBorder="1" applyAlignment="1" applyProtection="1">
      <alignment horizontal="center" vertical="center" wrapText="1"/>
      <protection hidden="1"/>
    </xf>
    <xf numFmtId="0" fontId="2" fillId="7" borderId="27" xfId="0" applyFont="1" applyFill="1" applyBorder="1" applyAlignment="1" applyProtection="1">
      <alignment horizontal="center" vertical="center" wrapText="1"/>
      <protection hidden="1"/>
    </xf>
    <xf numFmtId="0" fontId="2" fillId="7" borderId="5" xfId="0" applyFont="1" applyFill="1" applyBorder="1" applyAlignment="1" applyProtection="1">
      <alignment horizontal="center" vertical="center" wrapText="1"/>
      <protection hidden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35" fillId="0" borderId="27" xfId="0" applyFont="1" applyBorder="1" applyAlignment="1" applyProtection="1">
      <alignment horizontal="center" vertical="center" textRotation="90"/>
      <protection hidden="1"/>
    </xf>
    <xf numFmtId="0" fontId="35" fillId="0" borderId="64" xfId="0" applyFont="1" applyBorder="1" applyAlignment="1" applyProtection="1">
      <alignment horizontal="center" vertical="center" textRotation="90"/>
      <protection hidden="1"/>
    </xf>
    <xf numFmtId="0" fontId="35" fillId="0" borderId="65" xfId="0" applyFont="1" applyBorder="1" applyAlignment="1" applyProtection="1">
      <alignment horizontal="center" vertical="center" textRotation="90"/>
      <protection hidden="1"/>
    </xf>
    <xf numFmtId="0" fontId="35" fillId="0" borderId="38" xfId="0" applyFont="1" applyBorder="1" applyAlignment="1" applyProtection="1">
      <alignment horizontal="center" vertical="center" textRotation="90"/>
      <protection hidden="1"/>
    </xf>
    <xf numFmtId="0" fontId="2" fillId="5" borderId="1" xfId="0" applyFont="1" applyFill="1" applyBorder="1" applyAlignment="1" applyProtection="1">
      <alignment horizontal="center" vertical="center" wrapText="1"/>
      <protection hidden="1"/>
    </xf>
    <xf numFmtId="0" fontId="2" fillId="4" borderId="52" xfId="0" applyFont="1" applyFill="1" applyBorder="1" applyAlignment="1" applyProtection="1">
      <alignment horizontal="center" vertical="center" wrapText="1"/>
      <protection hidden="1"/>
    </xf>
    <xf numFmtId="0" fontId="2" fillId="4" borderId="66" xfId="0" applyFont="1" applyFill="1" applyBorder="1" applyAlignment="1" applyProtection="1">
      <alignment horizontal="center" vertical="center" wrapText="1"/>
      <protection hidden="1"/>
    </xf>
    <xf numFmtId="0" fontId="2" fillId="4" borderId="5" xfId="0" applyFont="1" applyFill="1" applyBorder="1" applyAlignment="1" applyProtection="1">
      <alignment horizontal="center" vertical="center" wrapText="1"/>
      <protection hidden="1"/>
    </xf>
    <xf numFmtId="0" fontId="2" fillId="4" borderId="12" xfId="0" applyFont="1" applyFill="1" applyBorder="1" applyAlignment="1" applyProtection="1">
      <alignment horizontal="center" vertical="center" wrapText="1"/>
      <protection hidden="1"/>
    </xf>
    <xf numFmtId="0" fontId="2" fillId="2" borderId="52" xfId="0" applyFont="1" applyFill="1" applyBorder="1" applyAlignment="1" applyProtection="1">
      <alignment horizontal="center" vertical="center" wrapText="1"/>
      <protection hidden="1"/>
    </xf>
    <xf numFmtId="0" fontId="2" fillId="2" borderId="66" xfId="0" applyFont="1" applyFill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0" fontId="2" fillId="2" borderId="12" xfId="0" applyFont="1" applyFill="1" applyBorder="1" applyAlignment="1" applyProtection="1">
      <alignment horizontal="center" vertical="center" wrapText="1"/>
      <protection hidden="1"/>
    </xf>
    <xf numFmtId="0" fontId="2" fillId="6" borderId="52" xfId="0" applyFont="1" applyFill="1" applyBorder="1" applyAlignment="1" applyProtection="1">
      <alignment horizontal="center" vertical="center" wrapText="1"/>
      <protection hidden="1"/>
    </xf>
    <xf numFmtId="0" fontId="2" fillId="6" borderId="66" xfId="0" applyFont="1" applyFill="1" applyBorder="1" applyAlignment="1" applyProtection="1">
      <alignment horizontal="center" vertical="center" wrapText="1"/>
      <protection hidden="1"/>
    </xf>
    <xf numFmtId="0" fontId="2" fillId="6" borderId="5" xfId="0" applyFont="1" applyFill="1" applyBorder="1" applyAlignment="1" applyProtection="1">
      <alignment horizontal="center" vertical="center" wrapText="1"/>
      <protection hidden="1"/>
    </xf>
    <xf numFmtId="0" fontId="2" fillId="6" borderId="12" xfId="0" applyFont="1" applyFill="1" applyBorder="1" applyAlignment="1" applyProtection="1">
      <alignment horizontal="center" vertical="center" wrapText="1"/>
      <protection hidden="1"/>
    </xf>
    <xf numFmtId="0" fontId="2" fillId="17" borderId="67" xfId="0" applyFont="1" applyFill="1" applyBorder="1" applyAlignment="1" applyProtection="1">
      <alignment horizontal="center" vertical="center" wrapText="1"/>
      <protection hidden="1"/>
    </xf>
    <xf numFmtId="0" fontId="2" fillId="17" borderId="68" xfId="0" applyFont="1" applyFill="1" applyBorder="1" applyAlignment="1" applyProtection="1">
      <alignment horizontal="center" vertical="center" wrapText="1"/>
      <protection hidden="1"/>
    </xf>
    <xf numFmtId="0" fontId="2" fillId="17" borderId="6" xfId="0" applyFont="1" applyFill="1" applyBorder="1" applyAlignment="1" applyProtection="1">
      <alignment horizontal="center" vertical="center" wrapText="1"/>
      <protection hidden="1"/>
    </xf>
    <xf numFmtId="1" fontId="11" fillId="0" borderId="5" xfId="0" applyNumberFormat="1" applyFont="1" applyFill="1" applyBorder="1" applyAlignment="1" applyProtection="1">
      <alignment horizontal="center" vertical="center"/>
      <protection hidden="1"/>
    </xf>
    <xf numFmtId="0" fontId="0" fillId="0" borderId="69" xfId="0" applyFill="1" applyBorder="1" applyAlignment="1" applyProtection="1">
      <alignment horizontal="center" vertical="center"/>
      <protection hidden="1"/>
    </xf>
    <xf numFmtId="1" fontId="2" fillId="2" borderId="32" xfId="0" applyNumberFormat="1" applyFont="1" applyFill="1" applyBorder="1" applyAlignment="1" applyProtection="1">
      <alignment horizontal="center" vertical="center" wrapText="1"/>
      <protection hidden="1"/>
    </xf>
    <xf numFmtId="1" fontId="2" fillId="2" borderId="30" xfId="0" applyNumberFormat="1" applyFont="1" applyFill="1" applyBorder="1" applyAlignment="1" applyProtection="1">
      <alignment horizontal="center" vertical="center" wrapText="1"/>
      <protection hidden="1"/>
    </xf>
    <xf numFmtId="1" fontId="2" fillId="2" borderId="69" xfId="0" applyNumberFormat="1" applyFont="1" applyFill="1" applyBorder="1" applyAlignment="1" applyProtection="1">
      <alignment horizontal="center" vertical="center" wrapText="1"/>
      <protection hidden="1"/>
    </xf>
    <xf numFmtId="1" fontId="2" fillId="2" borderId="52" xfId="0" applyNumberFormat="1" applyFont="1" applyFill="1" applyBorder="1" applyAlignment="1" applyProtection="1">
      <alignment horizontal="center" vertical="center" wrapText="1"/>
      <protection hidden="1"/>
    </xf>
    <xf numFmtId="1" fontId="2" fillId="2" borderId="7" xfId="0" applyNumberFormat="1" applyFont="1" applyFill="1" applyBorder="1" applyAlignment="1" applyProtection="1">
      <alignment horizontal="center" vertical="center" wrapText="1"/>
      <protection hidden="1"/>
    </xf>
    <xf numFmtId="1" fontId="2" fillId="2" borderId="42" xfId="0" applyNumberFormat="1" applyFont="1" applyFill="1" applyBorder="1" applyAlignment="1" applyProtection="1">
      <alignment horizontal="center" vertical="center" wrapText="1"/>
      <protection hidden="1"/>
    </xf>
    <xf numFmtId="1" fontId="2" fillId="2" borderId="60" xfId="0" applyNumberFormat="1" applyFont="1" applyFill="1" applyBorder="1" applyAlignment="1" applyProtection="1">
      <alignment horizontal="center" vertical="center" wrapText="1"/>
      <protection hidden="1"/>
    </xf>
    <xf numFmtId="1" fontId="2" fillId="6" borderId="5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66" xfId="0" applyBorder="1" applyAlignment="1" applyProtection="1">
      <alignment horizontal="center" vertical="center" wrapText="1"/>
      <protection hidden="1"/>
    </xf>
    <xf numFmtId="0" fontId="0" fillId="0" borderId="42" xfId="0" applyBorder="1" applyAlignment="1" applyProtection="1">
      <alignment horizontal="center" vertical="center" wrapText="1"/>
      <protection hidden="1"/>
    </xf>
    <xf numFmtId="0" fontId="0" fillId="0" borderId="61" xfId="0" applyBorder="1" applyAlignment="1" applyProtection="1">
      <alignment horizontal="center" vertical="center" wrapText="1"/>
      <protection hidden="1"/>
    </xf>
    <xf numFmtId="0" fontId="2" fillId="4" borderId="27" xfId="0" applyFont="1" applyFill="1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61" xfId="0" applyBorder="1" applyAlignment="1" applyProtection="1">
      <alignment horizontal="center" vertical="center"/>
      <protection hidden="1"/>
    </xf>
    <xf numFmtId="0" fontId="0" fillId="0" borderId="60" xfId="0" applyBorder="1" applyAlignment="1" applyProtection="1">
      <alignment horizontal="center" vertical="center"/>
      <protection hidden="1"/>
    </xf>
    <xf numFmtId="0" fontId="2" fillId="4" borderId="52" xfId="0" applyFont="1" applyFill="1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center" vertical="center" wrapText="1"/>
      <protection hidden="1"/>
    </xf>
    <xf numFmtId="0" fontId="0" fillId="0" borderId="60" xfId="0" applyBorder="1" applyAlignment="1" applyProtection="1">
      <alignment horizontal="center" vertical="center" wrapText="1"/>
      <protection hidden="1"/>
    </xf>
    <xf numFmtId="0" fontId="2" fillId="4" borderId="7" xfId="0" applyFont="1" applyFill="1" applyBorder="1" applyAlignment="1" applyProtection="1">
      <alignment horizontal="center" vertical="center" wrapText="1"/>
      <protection hidden="1"/>
    </xf>
    <xf numFmtId="1" fontId="2" fillId="7" borderId="52" xfId="0" applyNumberFormat="1" applyFont="1" applyFill="1" applyBorder="1" applyAlignment="1" applyProtection="1">
      <alignment horizontal="center" vertical="center" wrapText="1"/>
      <protection hidden="1"/>
    </xf>
    <xf numFmtId="49" fontId="24" fillId="4" borderId="39" xfId="0" applyNumberFormat="1" applyFont="1" applyFill="1" applyBorder="1" applyAlignment="1" applyProtection="1">
      <alignment horizontal="center" vertical="center" wrapText="1"/>
      <protection hidden="1"/>
    </xf>
    <xf numFmtId="49" fontId="24" fillId="4" borderId="7" xfId="0" applyNumberFormat="1" applyFont="1" applyFill="1" applyBorder="1" applyAlignment="1" applyProtection="1">
      <alignment horizontal="center" vertical="center" wrapText="1"/>
      <protection hidden="1"/>
    </xf>
    <xf numFmtId="49" fontId="24" fillId="4" borderId="32" xfId="0" applyNumberFormat="1" applyFont="1" applyFill="1" applyBorder="1" applyAlignment="1" applyProtection="1">
      <alignment horizontal="center" vertical="center" wrapText="1"/>
      <protection hidden="1"/>
    </xf>
    <xf numFmtId="49" fontId="24" fillId="4" borderId="69" xfId="0" applyNumberFormat="1" applyFont="1" applyFill="1" applyBorder="1" applyAlignment="1" applyProtection="1">
      <alignment horizontal="center" vertical="center" wrapText="1"/>
      <protection hidden="1"/>
    </xf>
    <xf numFmtId="1" fontId="2" fillId="7" borderId="47" xfId="0" applyNumberFormat="1" applyFont="1" applyFill="1" applyBorder="1" applyAlignment="1" applyProtection="1">
      <alignment horizontal="center" vertical="center" wrapText="1"/>
      <protection hidden="1"/>
    </xf>
    <xf numFmtId="1" fontId="2" fillId="7" borderId="2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9" xfId="0" applyFont="1" applyBorder="1" applyAlignment="1" applyProtection="1">
      <alignment horizontal="center" vertical="center" wrapText="1"/>
      <protection hidden="1"/>
    </xf>
    <xf numFmtId="0" fontId="0" fillId="0" borderId="50" xfId="0" applyFont="1" applyBorder="1" applyAlignment="1" applyProtection="1">
      <alignment horizontal="center" vertical="center" wrapText="1"/>
      <protection hidden="1"/>
    </xf>
    <xf numFmtId="1" fontId="2" fillId="6" borderId="3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0" xfId="0" applyFont="1" applyBorder="1" applyAlignment="1" applyProtection="1">
      <alignment wrapText="1"/>
      <protection hidden="1"/>
    </xf>
    <xf numFmtId="0" fontId="0" fillId="0" borderId="69" xfId="0" applyFont="1" applyBorder="1" applyAlignment="1" applyProtection="1">
      <alignment wrapText="1"/>
      <protection hidden="1"/>
    </xf>
    <xf numFmtId="0" fontId="0" fillId="0" borderId="12" xfId="0" applyFont="1" applyBorder="1" applyAlignment="1" applyProtection="1">
      <alignment wrapText="1"/>
      <protection hidden="1"/>
    </xf>
    <xf numFmtId="0" fontId="0" fillId="16" borderId="47" xfId="0" applyFont="1" applyFill="1" applyBorder="1" applyAlignment="1" applyProtection="1">
      <alignment horizontal="center"/>
      <protection hidden="1"/>
    </xf>
    <xf numFmtId="0" fontId="0" fillId="16" borderId="2" xfId="0" applyFont="1" applyFill="1" applyBorder="1" applyAlignment="1" applyProtection="1">
      <alignment horizontal="center"/>
      <protection hidden="1"/>
    </xf>
    <xf numFmtId="1" fontId="11" fillId="2" borderId="5" xfId="0" applyNumberFormat="1" applyFont="1" applyFill="1" applyBorder="1" applyAlignment="1" applyProtection="1">
      <alignment horizontal="center" vertical="center" wrapText="1"/>
      <protection hidden="1"/>
    </xf>
    <xf numFmtId="1" fontId="11" fillId="2" borderId="30" xfId="0" applyNumberFormat="1" applyFont="1" applyFill="1" applyBorder="1" applyAlignment="1" applyProtection="1">
      <alignment horizontal="center" vertical="center" wrapText="1"/>
      <protection hidden="1"/>
    </xf>
    <xf numFmtId="1" fontId="11" fillId="2" borderId="69" xfId="0" applyNumberFormat="1" applyFont="1" applyFill="1" applyBorder="1" applyAlignment="1" applyProtection="1">
      <alignment horizontal="center" vertical="center" wrapText="1"/>
      <protection hidden="1"/>
    </xf>
    <xf numFmtId="1" fontId="2" fillId="2" borderId="32" xfId="0" applyNumberFormat="1" applyFont="1" applyFill="1" applyBorder="1" applyAlignment="1" applyProtection="1">
      <alignment horizontal="center" vertical="center" wrapText="1"/>
      <protection hidden="1"/>
    </xf>
    <xf numFmtId="1" fontId="2" fillId="2" borderId="30" xfId="0" applyNumberFormat="1" applyFont="1" applyFill="1" applyBorder="1" applyAlignment="1" applyProtection="1">
      <alignment horizontal="center" vertical="center" wrapText="1"/>
      <protection hidden="1"/>
    </xf>
    <xf numFmtId="1" fontId="2" fillId="2" borderId="69" xfId="0" applyNumberFormat="1" applyFont="1" applyFill="1" applyBorder="1" applyAlignment="1" applyProtection="1">
      <alignment horizontal="center" vertical="center" wrapText="1"/>
      <protection hidden="1"/>
    </xf>
    <xf numFmtId="0" fontId="2" fillId="4" borderId="32" xfId="0" applyFont="1" applyFill="1" applyBorder="1" applyAlignment="1" applyProtection="1">
      <alignment horizontal="center" vertical="center" wrapText="1"/>
      <protection hidden="1"/>
    </xf>
    <xf numFmtId="0" fontId="2" fillId="4" borderId="30" xfId="0" applyFont="1" applyFill="1" applyBorder="1" applyAlignment="1" applyProtection="1">
      <alignment horizontal="center" vertical="center" wrapText="1"/>
      <protection hidden="1"/>
    </xf>
    <xf numFmtId="49" fontId="2" fillId="4" borderId="3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0" xfId="0" applyBorder="1" applyAlignment="1" applyProtection="1">
      <alignment/>
      <protection hidden="1"/>
    </xf>
    <xf numFmtId="0" fontId="0" fillId="0" borderId="69" xfId="0" applyBorder="1" applyAlignment="1" applyProtection="1">
      <alignment/>
      <protection hidden="1"/>
    </xf>
    <xf numFmtId="0" fontId="0" fillId="0" borderId="7" xfId="0" applyBorder="1" applyAlignment="1" applyProtection="1">
      <alignment/>
      <protection hidden="1"/>
    </xf>
    <xf numFmtId="0" fontId="0" fillId="0" borderId="42" xfId="0" applyBorder="1" applyAlignment="1" applyProtection="1">
      <alignment/>
      <protection hidden="1"/>
    </xf>
    <xf numFmtId="0" fontId="0" fillId="0" borderId="60" xfId="0" applyBorder="1" applyAlignment="1" applyProtection="1">
      <alignment/>
      <protection hidden="1"/>
    </xf>
    <xf numFmtId="49" fontId="2" fillId="4" borderId="30" xfId="0" applyNumberFormat="1" applyFont="1" applyFill="1" applyBorder="1" applyAlignment="1" applyProtection="1">
      <alignment horizontal="center" vertical="center" wrapText="1"/>
      <protection hidden="1"/>
    </xf>
    <xf numFmtId="49" fontId="2" fillId="4" borderId="69" xfId="0" applyNumberFormat="1" applyFont="1" applyFill="1" applyBorder="1" applyAlignment="1" applyProtection="1">
      <alignment horizontal="center" vertical="center" wrapText="1"/>
      <protection hidden="1"/>
    </xf>
    <xf numFmtId="0" fontId="34" fillId="0" borderId="70" xfId="0" applyFont="1" applyBorder="1" applyAlignment="1" applyProtection="1">
      <alignment horizontal="center" vertical="center"/>
      <protection hidden="1"/>
    </xf>
    <xf numFmtId="0" fontId="34" fillId="0" borderId="71" xfId="0" applyFont="1" applyBorder="1" applyAlignment="1" applyProtection="1">
      <alignment horizontal="center" vertical="center"/>
      <protection hidden="1"/>
    </xf>
    <xf numFmtId="0" fontId="2" fillId="3" borderId="67" xfId="0" applyFont="1" applyFill="1" applyBorder="1" applyAlignment="1" applyProtection="1">
      <alignment horizontal="left"/>
      <protection hidden="1"/>
    </xf>
    <xf numFmtId="9" fontId="11" fillId="4" borderId="56" xfId="0" applyNumberFormat="1" applyFont="1" applyFill="1" applyBorder="1" applyAlignment="1" applyProtection="1">
      <alignment horizontal="center"/>
      <protection hidden="1"/>
    </xf>
    <xf numFmtId="0" fontId="0" fillId="14" borderId="1" xfId="0" applyFont="1" applyFill="1" applyBorder="1" applyAlignment="1" applyProtection="1">
      <alignment/>
      <protection hidden="1"/>
    </xf>
    <xf numFmtId="0" fontId="2" fillId="4" borderId="66" xfId="0" applyFont="1" applyFill="1" applyBorder="1" applyAlignment="1" applyProtection="1">
      <alignment horizontal="left"/>
      <protection hidden="1"/>
    </xf>
    <xf numFmtId="9" fontId="11" fillId="14" borderId="1" xfId="0" applyNumberFormat="1" applyFont="1" applyFill="1" applyBorder="1" applyAlignment="1" applyProtection="1">
      <alignment horizontal="center"/>
      <protection hidden="1"/>
    </xf>
    <xf numFmtId="0" fontId="2" fillId="5" borderId="67" xfId="0" applyFont="1" applyFill="1" applyBorder="1" applyAlignment="1" applyProtection="1">
      <alignment/>
      <protection hidden="1"/>
    </xf>
    <xf numFmtId="9" fontId="11" fillId="5" borderId="67" xfId="0" applyNumberFormat="1" applyFont="1" applyFill="1" applyBorder="1" applyAlignment="1" applyProtection="1">
      <alignment horizontal="center"/>
      <protection hidden="1"/>
    </xf>
    <xf numFmtId="0" fontId="2" fillId="4" borderId="67" xfId="0" applyFont="1" applyFill="1" applyBorder="1" applyAlignment="1" applyProtection="1">
      <alignment/>
      <protection hidden="1"/>
    </xf>
    <xf numFmtId="9" fontId="11" fillId="4" borderId="67" xfId="0" applyNumberFormat="1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/>
      <protection hidden="1"/>
    </xf>
    <xf numFmtId="9" fontId="11" fillId="2" borderId="67" xfId="0" applyNumberFormat="1" applyFont="1" applyFill="1" applyBorder="1" applyAlignment="1" applyProtection="1">
      <alignment horizontal="center"/>
      <protection hidden="1"/>
    </xf>
    <xf numFmtId="0" fontId="2" fillId="6" borderId="67" xfId="0" applyFont="1" applyFill="1" applyBorder="1" applyAlignment="1" applyProtection="1">
      <alignment/>
      <protection hidden="1"/>
    </xf>
    <xf numFmtId="9" fontId="11" fillId="6" borderId="67" xfId="0" applyNumberFormat="1" applyFont="1" applyFill="1" applyBorder="1" applyAlignment="1" applyProtection="1">
      <alignment horizontal="center"/>
      <protection hidden="1"/>
    </xf>
    <xf numFmtId="0" fontId="2" fillId="7" borderId="67" xfId="0" applyFont="1" applyFill="1" applyBorder="1" applyAlignment="1" applyProtection="1">
      <alignment/>
      <protection hidden="1"/>
    </xf>
    <xf numFmtId="9" fontId="11" fillId="7" borderId="52" xfId="0" applyNumberFormat="1" applyFont="1" applyFill="1" applyBorder="1" applyAlignment="1" applyProtection="1">
      <alignment horizontal="center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7">
    <dxf>
      <font>
        <b/>
        <i val="0"/>
      </font>
      <fill>
        <patternFill>
          <bgColor rgb="FFFF99CC"/>
        </patternFill>
      </fill>
      <border/>
    </dxf>
    <dxf>
      <font>
        <b/>
        <i val="0"/>
      </font>
      <fill>
        <patternFill>
          <bgColor rgb="FF99FF99"/>
        </patternFill>
      </fill>
      <border/>
    </dxf>
    <dxf>
      <font>
        <b/>
        <i val="0"/>
        <color rgb="FFE6E6FF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E6E6FF"/>
      </font>
      <border/>
    </dxf>
    <dxf>
      <fill>
        <patternFill>
          <bgColor rgb="FFFFFF99"/>
        </patternFill>
      </fill>
      <border/>
    </dxf>
    <dxf>
      <font>
        <color rgb="FFE6E6FF"/>
      </font>
      <fill>
        <patternFill>
          <bgColor rgb="FFFF0000"/>
        </patternFill>
      </fill>
      <border>
        <left style="thin">
          <color rgb="FF000000"/>
        </left>
        <right>
          <color rgb="FF000000"/>
        </right>
        <top style="thin"/>
        <bottom style="thin">
          <color rgb="FF000000"/>
        </bottom>
      </border>
    </dxf>
    <dxf>
      <font>
        <color rgb="FFE6E6FF"/>
      </font>
      <fill>
        <patternFill>
          <bgColor rgb="FFFF0000"/>
        </patternFill>
      </fill>
      <border>
        <left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0000"/>
      </font>
      <fill>
        <patternFill>
          <bgColor rgb="FFFF0000"/>
        </patternFill>
      </fill>
      <border>
        <left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auto="1"/>
      </font>
      <fill>
        <patternFill>
          <bgColor rgb="FFCCCCFF"/>
        </patternFill>
      </fill>
      <border/>
    </dxf>
    <dxf>
      <fill>
        <patternFill>
          <bgColor rgb="FFFFFFCC"/>
        </patternFill>
      </fill>
      <border/>
    </dxf>
    <dxf>
      <font>
        <b/>
        <i val="0"/>
        <color rgb="FFFF0000"/>
      </font>
      <border/>
    </dxf>
    <dxf>
      <font>
        <b/>
        <i val="0"/>
        <color rgb="FF008000"/>
      </font>
      <border/>
    </dxf>
    <dxf>
      <font>
        <b/>
        <i val="0"/>
        <color rgb="FF0000FF"/>
      </font>
      <border/>
    </dxf>
    <dxf>
      <font>
        <b/>
        <i val="0"/>
        <color rgb="FF008000"/>
      </font>
      <fill>
        <patternFill patternType="none">
          <bgColor indexed="65"/>
        </patternFill>
      </fill>
      <border/>
    </dxf>
    <dxf>
      <font>
        <b/>
        <i val="0"/>
        <color rgb="FF0000FF"/>
      </font>
      <fill>
        <patternFill patternType="none">
          <bgColor indexed="65"/>
        </patternFill>
      </fill>
      <border/>
    </dxf>
    <dxf>
      <font>
        <b/>
        <i val="0"/>
        <color rgb="FF00008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E6E64C"/>
      <rgbColor rgb="00FF00FF"/>
      <rgbColor rgb="005FFFBE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A5FFFF"/>
      <rgbColor rgb="0099FF99"/>
      <rgbColor rgb="00FFFF99"/>
      <rgbColor rgb="0099CCFF"/>
      <rgbColor rgb="00FF99CC"/>
      <rgbColor rgb="00CC99FF"/>
      <rgbColor rgb="00FFCC99"/>
      <rgbColor rgb="003366FF"/>
      <rgbColor rgb="000099FF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'Encodage réponses 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'Encodage réponses Es'!#REF!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19913551"/>
        <c:axId val="45004232"/>
      </c:barChart>
      <c:catAx>
        <c:axId val="199135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5004232"/>
        <c:crosses val="autoZero"/>
        <c:auto val="1"/>
        <c:lblOffset val="100"/>
        <c:noMultiLvlLbl val="0"/>
      </c:catAx>
      <c:valAx>
        <c:axId val="45004232"/>
        <c:scaling>
          <c:orientation val="minMax"/>
        </c:scaling>
        <c:axPos val="b"/>
        <c:delete val="1"/>
        <c:majorTickMark val="out"/>
        <c:minorTickMark val="none"/>
        <c:tickLblPos val="nextTo"/>
        <c:crossAx val="19913551"/>
        <c:crossesAt val="1"/>
        <c:crossBetween val="between"/>
        <c:dispUnits/>
      </c:valAx>
      <c:spPr>
        <a:solidFill>
          <a:srgbClr val="E6E64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625"/>
          <c:w val="0.977"/>
          <c:h val="0.98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Résultats!$DU$45:$DU$54</c:f>
              <c:strCache/>
            </c:strRef>
          </c:cat>
          <c:val>
            <c:numRef>
              <c:f>Résultats!$DV$45:$DV$54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20"/>
        <c:axId val="31612505"/>
        <c:axId val="16077090"/>
      </c:barChart>
      <c:catAx>
        <c:axId val="316125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16077090"/>
        <c:crosses val="autoZero"/>
        <c:auto val="1"/>
        <c:lblOffset val="100"/>
        <c:noMultiLvlLbl val="0"/>
      </c:catAx>
      <c:valAx>
        <c:axId val="16077090"/>
        <c:scaling>
          <c:orientation val="minMax"/>
        </c:scaling>
        <c:axPos val="b"/>
        <c:delete val="1"/>
        <c:majorTickMark val="out"/>
        <c:minorTickMark val="none"/>
        <c:tickLblPos val="nextTo"/>
        <c:crossAx val="31612505"/>
        <c:crossesAt val="1"/>
        <c:crossBetween val="between"/>
        <c:dispUnits/>
      </c:valAx>
      <c:spPr>
        <a:solidFill>
          <a:srgbClr val="CC99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625"/>
          <c:w val="0.99025"/>
          <c:h val="0.98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Résultats!#REF!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10476083"/>
        <c:axId val="27175884"/>
      </c:barChart>
      <c:catAx>
        <c:axId val="104760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27175884"/>
        <c:crosses val="autoZero"/>
        <c:auto val="1"/>
        <c:lblOffset val="100"/>
        <c:noMultiLvlLbl val="0"/>
      </c:catAx>
      <c:valAx>
        <c:axId val="27175884"/>
        <c:scaling>
          <c:orientation val="minMax"/>
        </c:scaling>
        <c:axPos val="b"/>
        <c:delete val="1"/>
        <c:majorTickMark val="out"/>
        <c:minorTickMark val="none"/>
        <c:tickLblPos val="nextTo"/>
        <c:crossAx val="10476083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Résultats!$BI$45:$BI$54</c:f>
              <c:strCache/>
            </c:strRef>
          </c:cat>
          <c:val>
            <c:numRef>
              <c:f>Résultats!$BJ$45:$BJ$54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20"/>
        <c:axId val="43256365"/>
        <c:axId val="53762966"/>
      </c:barChart>
      <c:catAx>
        <c:axId val="432563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53762966"/>
        <c:crosses val="autoZero"/>
        <c:auto val="1"/>
        <c:lblOffset val="100"/>
        <c:noMultiLvlLbl val="0"/>
      </c:catAx>
      <c:valAx>
        <c:axId val="53762966"/>
        <c:scaling>
          <c:orientation val="minMax"/>
        </c:scaling>
        <c:axPos val="b"/>
        <c:delete val="1"/>
        <c:majorTickMark val="out"/>
        <c:minorTickMark val="none"/>
        <c:tickLblPos val="nextTo"/>
        <c:crossAx val="43256365"/>
        <c:crossesAt val="1"/>
        <c:crossBetween val="between"/>
        <c:dispUnits/>
      </c:valAx>
      <c:spPr>
        <a:solidFill>
          <a:srgbClr val="E6E6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975"/>
          <c:w val="0.91225"/>
          <c:h val="0.89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Résultats!$BP$45:$BP$54</c:f>
              <c:strCache/>
            </c:strRef>
          </c:cat>
          <c:val>
            <c:numRef>
              <c:f>Résultats!$BQ$45:$BQ$54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</c:ser>
        <c:gapWidth val="20"/>
        <c:axId val="14104647"/>
        <c:axId val="59832960"/>
      </c:barChart>
      <c:catAx>
        <c:axId val="141046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59832960"/>
        <c:crosses val="autoZero"/>
        <c:auto val="1"/>
        <c:lblOffset val="100"/>
        <c:noMultiLvlLbl val="0"/>
      </c:catAx>
      <c:valAx>
        <c:axId val="59832960"/>
        <c:scaling>
          <c:orientation val="minMax"/>
        </c:scaling>
        <c:axPos val="b"/>
        <c:delete val="1"/>
        <c:majorTickMark val="out"/>
        <c:minorTickMark val="none"/>
        <c:tickLblPos val="nextTo"/>
        <c:crossAx val="14104647"/>
        <c:crossesAt val="1"/>
        <c:crossBetween val="between"/>
        <c:dispUnits/>
      </c:valAx>
      <c:spPr>
        <a:solidFill>
          <a:srgbClr val="99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Résultats!$CH$45:$CH$54</c:f>
              <c:strCache/>
            </c:strRef>
          </c:cat>
          <c:val>
            <c:numRef>
              <c:f>Résultats!$CI$45:$CI$54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gapWidth val="20"/>
        <c:axId val="1625729"/>
        <c:axId val="14631562"/>
      </c:barChart>
      <c:catAx>
        <c:axId val="16257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14631562"/>
        <c:crosses val="autoZero"/>
        <c:auto val="1"/>
        <c:lblOffset val="100"/>
        <c:noMultiLvlLbl val="0"/>
      </c:catAx>
      <c:valAx>
        <c:axId val="14631562"/>
        <c:scaling>
          <c:orientation val="minMax"/>
        </c:scaling>
        <c:axPos val="b"/>
        <c:delete val="1"/>
        <c:majorTickMark val="out"/>
        <c:minorTickMark val="none"/>
        <c:tickLblPos val="nextTo"/>
        <c:crossAx val="1625729"/>
        <c:crossesAt val="1"/>
        <c:crossBetween val="between"/>
        <c:dispUnits/>
      </c:valAx>
      <c:spPr>
        <a:solidFill>
          <a:srgbClr val="99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"/>
          <c:w val="0.988"/>
          <c:h val="0.9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Résultats!$AO$45:$AO$54</c:f>
              <c:strCache/>
            </c:strRef>
          </c:cat>
          <c:val>
            <c:numRef>
              <c:f>Résultats!$AP$45:$AP$54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20"/>
        <c:axId val="64575195"/>
        <c:axId val="44305844"/>
      </c:barChart>
      <c:catAx>
        <c:axId val="645751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44305844"/>
        <c:crosses val="autoZero"/>
        <c:auto val="1"/>
        <c:lblOffset val="100"/>
        <c:noMultiLvlLbl val="0"/>
      </c:catAx>
      <c:valAx>
        <c:axId val="44305844"/>
        <c:scaling>
          <c:orientation val="minMax"/>
        </c:scaling>
        <c:axPos val="b"/>
        <c:delete val="1"/>
        <c:majorTickMark val="out"/>
        <c:minorTickMark val="none"/>
        <c:tickLblPos val="nextTo"/>
        <c:crossAx val="64575195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"/>
          <c:w val="0.977"/>
          <c:h val="0.96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Résultats!$AW$45:$AW$54</c:f>
              <c:strCache/>
            </c:strRef>
          </c:cat>
          <c:val>
            <c:numRef>
              <c:f>Résultats!$AX$45:$AX$54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gapWidth val="20"/>
        <c:axId val="63208277"/>
        <c:axId val="32003582"/>
      </c:barChart>
      <c:catAx>
        <c:axId val="632082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2003582"/>
        <c:crosses val="autoZero"/>
        <c:auto val="1"/>
        <c:lblOffset val="100"/>
        <c:noMultiLvlLbl val="0"/>
      </c:catAx>
      <c:valAx>
        <c:axId val="32003582"/>
        <c:scaling>
          <c:orientation val="minMax"/>
        </c:scaling>
        <c:axPos val="b"/>
        <c:delete val="1"/>
        <c:majorTickMark val="out"/>
        <c:minorTickMark val="none"/>
        <c:tickLblPos val="nextTo"/>
        <c:crossAx val="63208277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Résultats!#REF!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Résultats!#REF!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19596783"/>
        <c:axId val="42153320"/>
      </c:barChart>
      <c:catAx>
        <c:axId val="195967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42153320"/>
        <c:crosses val="autoZero"/>
        <c:auto val="1"/>
        <c:lblOffset val="100"/>
        <c:noMultiLvlLbl val="0"/>
      </c:catAx>
      <c:valAx>
        <c:axId val="42153320"/>
        <c:scaling>
          <c:orientation val="minMax"/>
        </c:scaling>
        <c:axPos val="b"/>
        <c:delete val="1"/>
        <c:majorTickMark val="out"/>
        <c:minorTickMark val="none"/>
        <c:tickLblPos val="nextTo"/>
        <c:crossAx val="19596783"/>
        <c:crossesAt val="1"/>
        <c:crossBetween val="between"/>
        <c:dispUnits/>
      </c:valAx>
      <c:spPr>
        <a:solidFill>
          <a:srgbClr val="E6E6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75"/>
          <c:y val="0.0215"/>
          <c:w val="0.88025"/>
          <c:h val="0.95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Résultats!$AQ$45:$AQ$54</c:f>
              <c:strCache/>
            </c:strRef>
          </c:cat>
          <c:val>
            <c:numRef>
              <c:f>Résultats!$AR$45:$AR$54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20"/>
        <c:axId val="43835561"/>
        <c:axId val="58975730"/>
      </c:barChart>
      <c:catAx>
        <c:axId val="438355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58975730"/>
        <c:crosses val="autoZero"/>
        <c:auto val="1"/>
        <c:lblOffset val="100"/>
        <c:noMultiLvlLbl val="0"/>
      </c:catAx>
      <c:valAx>
        <c:axId val="58975730"/>
        <c:scaling>
          <c:orientation val="minMax"/>
        </c:scaling>
        <c:axPos val="b"/>
        <c:delete val="1"/>
        <c:majorTickMark val="out"/>
        <c:minorTickMark val="none"/>
        <c:tickLblPos val="nextTo"/>
        <c:crossAx val="43835561"/>
        <c:crossesAt val="1"/>
        <c:crossBetween val="between"/>
        <c:dispUnits/>
      </c:valAx>
      <c:spPr>
        <a:solidFill>
          <a:srgbClr val="E6E6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225"/>
          <c:w val="0.984"/>
          <c:h val="0.96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Résultats!$BG$45:$BG$54</c:f>
              <c:strCache/>
            </c:strRef>
          </c:cat>
          <c:val>
            <c:numRef>
              <c:f>Résultats!$BH$45:$BH$54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20"/>
        <c:axId val="61019523"/>
        <c:axId val="12304796"/>
      </c:barChart>
      <c:catAx>
        <c:axId val="610195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12304796"/>
        <c:crosses val="autoZero"/>
        <c:auto val="1"/>
        <c:lblOffset val="100"/>
        <c:noMultiLvlLbl val="0"/>
      </c:catAx>
      <c:valAx>
        <c:axId val="12304796"/>
        <c:scaling>
          <c:orientation val="minMax"/>
        </c:scaling>
        <c:axPos val="b"/>
        <c:delete val="1"/>
        <c:majorTickMark val="out"/>
        <c:minorTickMark val="none"/>
        <c:tickLblPos val="nextTo"/>
        <c:crossAx val="61019523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'Encodage réponses 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'Encodage réponses Es'!#REF!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2384905"/>
        <c:axId val="21464146"/>
      </c:barChart>
      <c:catAx>
        <c:axId val="23849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21464146"/>
        <c:crosses val="autoZero"/>
        <c:auto val="1"/>
        <c:lblOffset val="100"/>
        <c:noMultiLvlLbl val="0"/>
      </c:catAx>
      <c:valAx>
        <c:axId val="21464146"/>
        <c:scaling>
          <c:orientation val="minMax"/>
        </c:scaling>
        <c:axPos val="b"/>
        <c:delete val="1"/>
        <c:majorTickMark val="out"/>
        <c:minorTickMark val="none"/>
        <c:tickLblPos val="nextTo"/>
        <c:crossAx val="2384905"/>
        <c:crossesAt val="1"/>
        <c:crossBetween val="between"/>
        <c:dispUnits/>
      </c:valAx>
      <c:spPr>
        <a:solidFill>
          <a:srgbClr val="99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Résultats!#REF!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43634301"/>
        <c:axId val="57164390"/>
      </c:barChart>
      <c:catAx>
        <c:axId val="436343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57164390"/>
        <c:crosses val="autoZero"/>
        <c:auto val="1"/>
        <c:lblOffset val="100"/>
        <c:noMultiLvlLbl val="0"/>
      </c:catAx>
      <c:valAx>
        <c:axId val="57164390"/>
        <c:scaling>
          <c:orientation val="minMax"/>
        </c:scaling>
        <c:axPos val="b"/>
        <c:delete val="1"/>
        <c:majorTickMark val="out"/>
        <c:minorTickMark val="none"/>
        <c:tickLblPos val="nextTo"/>
        <c:crossAx val="43634301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315"/>
          <c:w val="0.9245"/>
          <c:h val="0.91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Résultats!$BW$45:$BW$54</c:f>
              <c:strCache/>
            </c:strRef>
          </c:cat>
          <c:val>
            <c:numRef>
              <c:f>Résultats!$BX$45:$BX$54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gapWidth val="20"/>
        <c:axId val="44717463"/>
        <c:axId val="66912848"/>
      </c:barChart>
      <c:catAx>
        <c:axId val="447174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66912848"/>
        <c:crosses val="autoZero"/>
        <c:auto val="1"/>
        <c:lblOffset val="100"/>
        <c:noMultiLvlLbl val="0"/>
      </c:catAx>
      <c:valAx>
        <c:axId val="66912848"/>
        <c:scaling>
          <c:orientation val="minMax"/>
        </c:scaling>
        <c:axPos val="b"/>
        <c:delete val="1"/>
        <c:majorTickMark val="out"/>
        <c:minorTickMark val="none"/>
        <c:tickLblPos val="nextTo"/>
        <c:crossAx val="44717463"/>
        <c:crossesAt val="1"/>
        <c:crossBetween val="between"/>
        <c:dispUnits/>
      </c:valAx>
      <c:spPr>
        <a:solidFill>
          <a:srgbClr val="99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15"/>
          <c:w val="0.9525"/>
          <c:h val="0.91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Résultats!$CA$45:$CA$54</c:f>
              <c:strCache/>
            </c:strRef>
          </c:cat>
          <c:val>
            <c:numRef>
              <c:f>Résultats!$CB$45:$CB$54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gapWidth val="20"/>
        <c:axId val="65344721"/>
        <c:axId val="51231578"/>
      </c:barChart>
      <c:catAx>
        <c:axId val="653447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51231578"/>
        <c:crosses val="autoZero"/>
        <c:auto val="1"/>
        <c:lblOffset val="100"/>
        <c:noMultiLvlLbl val="0"/>
      </c:catAx>
      <c:valAx>
        <c:axId val="51231578"/>
        <c:scaling>
          <c:orientation val="minMax"/>
        </c:scaling>
        <c:axPos val="b"/>
        <c:delete val="1"/>
        <c:majorTickMark val="out"/>
        <c:minorTickMark val="none"/>
        <c:tickLblPos val="nextTo"/>
        <c:crossAx val="65344721"/>
        <c:crossesAt val="1"/>
        <c:crossBetween val="between"/>
        <c:dispUnits/>
      </c:valAx>
      <c:spPr>
        <a:solidFill>
          <a:srgbClr val="99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7"/>
          <c:w val="0.993"/>
          <c:h val="0.98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Résultats!$E$45:$E$54</c:f>
              <c:strCache/>
            </c:strRef>
          </c:cat>
          <c:val>
            <c:numRef>
              <c:f>Résultats!$F$45:$F$54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20"/>
        <c:axId val="58431019"/>
        <c:axId val="56117124"/>
      </c:barChart>
      <c:catAx>
        <c:axId val="584310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6117124"/>
        <c:crosses val="autoZero"/>
        <c:auto val="1"/>
        <c:lblOffset val="100"/>
        <c:noMultiLvlLbl val="0"/>
      </c:catAx>
      <c:valAx>
        <c:axId val="56117124"/>
        <c:scaling>
          <c:orientation val="minMax"/>
        </c:scaling>
        <c:axPos val="b"/>
        <c:delete val="1"/>
        <c:majorTickMark val="out"/>
        <c:minorTickMark val="none"/>
        <c:tickLblPos val="nextTo"/>
        <c:crossAx val="58431019"/>
        <c:crossesAt val="1"/>
        <c:crossBetween val="between"/>
        <c:dispUnits/>
      </c:valAx>
      <c:spPr>
        <a:solidFill>
          <a:srgbClr val="E6E64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Résultats!$L$45:$L$54</c:f>
              <c:strCache/>
            </c:strRef>
          </c:cat>
          <c:val>
            <c:numRef>
              <c:f>Résultats!$M$45:$M$54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gapWidth val="20"/>
        <c:axId val="35292069"/>
        <c:axId val="49193166"/>
      </c:barChart>
      <c:catAx>
        <c:axId val="352920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49193166"/>
        <c:crosses val="autoZero"/>
        <c:auto val="1"/>
        <c:lblOffset val="100"/>
        <c:noMultiLvlLbl val="0"/>
      </c:catAx>
      <c:valAx>
        <c:axId val="49193166"/>
        <c:scaling>
          <c:orientation val="minMax"/>
        </c:scaling>
        <c:axPos val="b"/>
        <c:delete val="1"/>
        <c:majorTickMark val="out"/>
        <c:minorTickMark val="none"/>
        <c:tickLblPos val="nextTo"/>
        <c:crossAx val="35292069"/>
        <c:crossesAt val="1"/>
        <c:crossBetween val="between"/>
        <c:dispUnits/>
      </c:valAx>
      <c:spPr>
        <a:solidFill>
          <a:srgbClr val="99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Résultats!$P$45:$P$54</c:f>
              <c:strCache/>
            </c:strRef>
          </c:cat>
          <c:val>
            <c:numRef>
              <c:f>Résultats!$Q$45:$Q$54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20"/>
        <c:axId val="40085311"/>
        <c:axId val="25223480"/>
      </c:barChart>
      <c:catAx>
        <c:axId val="400853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25223480"/>
        <c:crosses val="autoZero"/>
        <c:auto val="1"/>
        <c:lblOffset val="100"/>
        <c:noMultiLvlLbl val="0"/>
      </c:catAx>
      <c:valAx>
        <c:axId val="25223480"/>
        <c:scaling>
          <c:orientation val="minMax"/>
        </c:scaling>
        <c:axPos val="b"/>
        <c:delete val="1"/>
        <c:majorTickMark val="out"/>
        <c:minorTickMark val="none"/>
        <c:tickLblPos val="nextTo"/>
        <c:crossAx val="40085311"/>
        <c:crossesAt val="1"/>
        <c:crossBetween val="between"/>
        <c:dispUnits/>
      </c:valAx>
      <c:spPr>
        <a:solidFill>
          <a:srgbClr val="CC99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75"/>
          <c:y val="0.007"/>
          <c:w val="0.99175"/>
          <c:h val="0.98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Résultats!$J$45:$J$54</c:f>
              <c:strCache/>
            </c:strRef>
          </c:cat>
          <c:val>
            <c:numRef>
              <c:f>Résultats!$K$45:$K$54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20"/>
        <c:axId val="25684729"/>
        <c:axId val="29835970"/>
      </c:barChart>
      <c:catAx>
        <c:axId val="256847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29835970"/>
        <c:crosses val="autoZero"/>
        <c:auto val="1"/>
        <c:lblOffset val="100"/>
        <c:noMultiLvlLbl val="0"/>
      </c:catAx>
      <c:valAx>
        <c:axId val="29835970"/>
        <c:scaling>
          <c:orientation val="minMax"/>
        </c:scaling>
        <c:axPos val="b"/>
        <c:delete val="1"/>
        <c:majorTickMark val="out"/>
        <c:minorTickMark val="none"/>
        <c:tickLblPos val="nextTo"/>
        <c:crossAx val="25684729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Résultats!$N$45:$N$54</c:f>
              <c:strCache/>
            </c:strRef>
          </c:cat>
          <c:val>
            <c:numRef>
              <c:f>Résultats!$O$45:$O$54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20"/>
        <c:axId val="88275"/>
        <c:axId val="794476"/>
      </c:barChart>
      <c:catAx>
        <c:axId val="882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794476"/>
        <c:crosses val="autoZero"/>
        <c:auto val="1"/>
        <c:lblOffset val="100"/>
        <c:noMultiLvlLbl val="0"/>
      </c:catAx>
      <c:valAx>
        <c:axId val="794476"/>
        <c:scaling>
          <c:orientation val="minMax"/>
        </c:scaling>
        <c:axPos val="b"/>
        <c:delete val="1"/>
        <c:majorTickMark val="out"/>
        <c:minorTickMark val="none"/>
        <c:tickLblPos val="nextTo"/>
        <c:crossAx val="88275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latin typeface="Arial"/>
                <a:ea typeface="Arial"/>
                <a:cs typeface="Arial"/>
              </a:rPr>
              <a:t>Classe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7275"/>
          <c:w val="0.97825"/>
          <c:h val="0.92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Synthèse!$C$1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6E64C"/>
              </a:solidFill>
              <a:ln w="38100">
                <a:solidFill/>
              </a:ln>
            </c:spPr>
          </c:dPt>
          <c:dPt>
            <c:idx val="1"/>
            <c:invertIfNegative val="0"/>
            <c:spPr>
              <a:pattFill prst="ltUpDiag">
                <a:fgClr>
                  <a:srgbClr val="FFCC99"/>
                </a:fgClr>
                <a:bgClr>
                  <a:srgbClr val="E6E6E6"/>
                </a:bgClr>
              </a:pattFill>
              <a:ln w="38100">
                <a:solidFill/>
              </a:ln>
            </c:spPr>
          </c:dPt>
          <c:dPt>
            <c:idx val="2"/>
            <c:invertIfNegative val="0"/>
            <c:spPr>
              <a:pattFill prst="lgGrid">
                <a:fgClr>
                  <a:srgbClr val="FFCC99"/>
                </a:fgClr>
                <a:bgClr>
                  <a:srgbClr val="E6E6E6"/>
                </a:bgClr>
              </a:pattFill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</c:dPt>
          <c:dPt>
            <c:idx val="3"/>
            <c:invertIfNegative val="0"/>
            <c:spPr>
              <a:solidFill>
                <a:srgbClr val="FFCC99"/>
              </a:solidFill>
            </c:spPr>
          </c:dPt>
          <c:dPt>
            <c:idx val="4"/>
            <c:invertIfNegative val="0"/>
            <c:spPr>
              <a:solidFill>
                <a:srgbClr val="FFCC99"/>
              </a:solidFill>
            </c:spPr>
          </c:dPt>
          <c:dPt>
            <c:idx val="5"/>
            <c:invertIfNegative val="0"/>
            <c:spPr>
              <a:pattFill prst="lgGrid">
                <a:fgClr>
                  <a:srgbClr val="FFCC99"/>
                </a:fgClr>
                <a:bgClr>
                  <a:srgbClr val="E6E6E6"/>
                </a:bgClr>
              </a:pattFill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</c:dPt>
          <c:dPt>
            <c:idx val="6"/>
            <c:invertIfNegative val="0"/>
            <c:spPr>
              <a:solidFill>
                <a:srgbClr val="FFCC99"/>
              </a:solidFill>
            </c:spPr>
          </c:dPt>
          <c:dPt>
            <c:idx val="8"/>
            <c:invertIfNegative val="0"/>
            <c:spPr>
              <a:pattFill prst="ltUpDiag">
                <a:fgClr>
                  <a:srgbClr val="99FF99"/>
                </a:fgClr>
                <a:bgClr>
                  <a:srgbClr val="E6E6E6"/>
                </a:bgClr>
              </a:pattFill>
              <a:ln w="38100">
                <a:solidFill/>
              </a:ln>
            </c:spPr>
          </c:dPt>
          <c:dPt>
            <c:idx val="9"/>
            <c:invertIfNegative val="0"/>
            <c:spPr>
              <a:solidFill>
                <a:srgbClr val="99FF99"/>
              </a:solidFill>
            </c:spPr>
          </c:dPt>
          <c:dPt>
            <c:idx val="10"/>
            <c:invertIfNegative val="0"/>
            <c:spPr>
              <a:solidFill>
                <a:srgbClr val="99FF99"/>
              </a:solidFill>
            </c:spPr>
          </c:dPt>
          <c:dPt>
            <c:idx val="11"/>
            <c:invertIfNegative val="0"/>
            <c:spPr>
              <a:solidFill>
                <a:srgbClr val="99FF99"/>
              </a:solidFill>
            </c:spPr>
          </c:dPt>
          <c:dPt>
            <c:idx val="12"/>
            <c:invertIfNegative val="0"/>
            <c:spPr>
              <a:solidFill>
                <a:srgbClr val="99FF99"/>
              </a:solidFill>
            </c:spPr>
          </c:dPt>
          <c:dPt>
            <c:idx val="13"/>
            <c:invertIfNegative val="0"/>
            <c:spPr>
              <a:pattFill prst="ltUpDiag">
                <a:fgClr>
                  <a:srgbClr val="A5FFFF"/>
                </a:fgClr>
                <a:bgClr>
                  <a:srgbClr val="E6E6E6"/>
                </a:bgClr>
              </a:pattFill>
              <a:ln w="38100">
                <a:solidFill/>
              </a:ln>
            </c:spPr>
          </c:dPt>
          <c:dPt>
            <c:idx val="14"/>
            <c:invertIfNegative val="0"/>
            <c:spPr>
              <a:solidFill>
                <a:srgbClr val="A5FFFF"/>
              </a:solidFill>
            </c:spPr>
          </c:dPt>
          <c:dPt>
            <c:idx val="15"/>
            <c:invertIfNegative val="0"/>
            <c:spPr>
              <a:solidFill>
                <a:srgbClr val="A5FFFF"/>
              </a:solidFill>
            </c:spPr>
          </c:dPt>
          <c:dPt>
            <c:idx val="16"/>
            <c:invertIfNegative val="0"/>
            <c:spPr>
              <a:pattFill prst="ltUpDiag">
                <a:fgClr>
                  <a:srgbClr val="CC99FF"/>
                </a:fgClr>
                <a:bgClr>
                  <a:srgbClr val="E6E6E6"/>
                </a:bgClr>
              </a:pattFill>
              <a:ln w="38100">
                <a:solidFill/>
              </a:ln>
            </c:spPr>
          </c:dPt>
          <c:dPt>
            <c:idx val="17"/>
            <c:invertIfNegative val="0"/>
            <c:spPr>
              <a:solidFill>
                <a:srgbClr val="CC99FF"/>
              </a:solidFill>
              <a:ln w="12700">
                <a:solidFill/>
              </a:ln>
            </c:spPr>
          </c:dPt>
          <c:dPt>
            <c:idx val="18"/>
            <c:invertIfNegative val="0"/>
            <c:spPr>
              <a:solidFill>
                <a:srgbClr val="A5FFFF"/>
              </a:solidFill>
            </c:spPr>
          </c:dPt>
          <c:dPt>
            <c:idx val="19"/>
            <c:invertIfNegative val="0"/>
            <c:spPr>
              <a:solidFill>
                <a:srgbClr val="A5FFFF"/>
              </a:solidFill>
            </c:spPr>
          </c:dPt>
          <c:dPt>
            <c:idx val="20"/>
            <c:invertIfNegative val="0"/>
            <c:spPr>
              <a:solidFill>
                <a:srgbClr val="A5FFFF"/>
              </a:solidFill>
            </c:spPr>
          </c:dPt>
          <c:dPt>
            <c:idx val="21"/>
            <c:invertIfNegative val="0"/>
            <c:spPr>
              <a:pattFill prst="dkUpDiag">
                <a:fgClr>
                  <a:srgbClr val="CC99FF"/>
                </a:fgClr>
                <a:bgClr>
                  <a:srgbClr val="E6E6E6"/>
                </a:bgClr>
              </a:pattFill>
              <a:ln w="38100">
                <a:solidFill/>
              </a:ln>
            </c:spPr>
          </c:dPt>
          <c:dPt>
            <c:idx val="22"/>
            <c:invertIfNegative val="0"/>
            <c:spPr>
              <a:solidFill>
                <a:srgbClr val="CC99FF"/>
              </a:solidFill>
            </c:spPr>
          </c:dPt>
          <c:dPt>
            <c:idx val="23"/>
            <c:invertIfNegative val="0"/>
            <c:spPr>
              <a:solidFill>
                <a:srgbClr val="CC99FF"/>
              </a:solidFill>
            </c:spPr>
          </c:dPt>
          <c:dPt>
            <c:idx val="24"/>
            <c:invertIfNegative val="0"/>
            <c:spPr>
              <a:solidFill>
                <a:srgbClr val="FFCC99"/>
              </a:solidFill>
            </c:spPr>
          </c:dPt>
          <c:dPt>
            <c:idx val="26"/>
            <c:invertIfNegative val="0"/>
            <c:spPr>
              <a:solidFill>
                <a:srgbClr val="FFCC99"/>
              </a:solidFill>
            </c:spPr>
          </c:dPt>
          <c:dPt>
            <c:idx val="29"/>
            <c:invertIfNegative val="0"/>
            <c:spPr>
              <a:solidFill>
                <a:srgbClr val="FFCC99"/>
              </a:solidFill>
            </c:spPr>
          </c:dPt>
          <c:dPt>
            <c:idx val="30"/>
            <c:invertIfNegative val="0"/>
            <c:spPr>
              <a:solidFill>
                <a:srgbClr val="FFCC99"/>
              </a:solidFill>
            </c:spPr>
          </c:dPt>
          <c:dPt>
            <c:idx val="31"/>
            <c:invertIfNegative val="0"/>
            <c:spPr>
              <a:solidFill>
                <a:srgbClr val="FFCC99"/>
              </a:solidFill>
            </c:spPr>
          </c:dP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(Synthèse!$K$3,Synthèse!$K$6,Synthèse!$K$9:$K$11,Synthèse!$K$14:$K$16,Synthèse!$K$18,Synthèse!$K$21:$K$23,Synthèse!$K$26:$K$26,Synthèse!$K$28,Synthèse!$K$31:$K$31,Synthèse!$K$34:$K$34,Synthèse!$K$36,Synthèse!$K$38:$K$38)</c:f>
              <c:strCache/>
            </c:strRef>
          </c:cat>
          <c:val>
            <c:numRef>
              <c:f>(Synthèse!$C$3,Synthèse!$C$6,Synthèse!$C$9:$C$11,Synthèse!$C$14:$C$16,Synthèse!$C$18,Synthèse!$C$21:$C$23,Synthèse!$C$26:$C$26,Synthèse!$C$28,Synthèse!$C$31:$C$31,Synthèse!$C$34:$C$34,Synthèse!$C$36,Synthèse!$C$38:$C$38)</c:f>
              <c:numCache>
                <c:ptCount val="18"/>
                <c:pt idx="0">
                  <c:v>0.65</c:v>
                </c:pt>
                <c:pt idx="1">
                  <c:v>0.6774193548387097</c:v>
                </c:pt>
                <c:pt idx="2">
                  <c:v>0.631578947368421</c:v>
                </c:pt>
                <c:pt idx="3">
                  <c:v>1</c:v>
                </c:pt>
                <c:pt idx="4">
                  <c:v>0.5625</c:v>
                </c:pt>
                <c:pt idx="5">
                  <c:v>0.75</c:v>
                </c:pt>
                <c:pt idx="6">
                  <c:v>1</c:v>
                </c:pt>
                <c:pt idx="7">
                  <c:v>0.625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0.368421052631579</c:v>
                </c:pt>
                <c:pt idx="14">
                  <c:v>0.5833333333333334</c:v>
                </c:pt>
                <c:pt idx="15">
                  <c:v>0</c:v>
                </c:pt>
                <c:pt idx="16">
                  <c:v>0.5714285714285714</c:v>
                </c:pt>
                <c:pt idx="17">
                  <c:v>0.5714285714285714</c:v>
                </c:pt>
              </c:numCache>
            </c:numRef>
          </c:val>
        </c:ser>
        <c:overlap val="10"/>
        <c:gapWidth val="40"/>
        <c:axId val="7150285"/>
        <c:axId val="64352566"/>
      </c:barChart>
      <c:catAx>
        <c:axId val="7150285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sng" baseline="0">
                    <a:latin typeface="Arial"/>
                    <a:ea typeface="Arial"/>
                    <a:cs typeface="Arial"/>
                  </a:rPr>
                  <a:t>Compétences</a:t>
                </a:r>
              </a:p>
            </c:rich>
          </c:tx>
          <c:layout>
            <c:manualLayout>
              <c:xMode val="factor"/>
              <c:yMode val="factor"/>
              <c:x val="0.05975"/>
              <c:y val="-0.12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4352566"/>
        <c:crosses val="autoZero"/>
        <c:auto val="1"/>
        <c:lblOffset val="80"/>
        <c:noMultiLvlLbl val="0"/>
      </c:catAx>
      <c:valAx>
        <c:axId val="64352566"/>
        <c:scaling>
          <c:orientation val="minMax"/>
          <c:max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30000">
                    <a:latin typeface="Arial"/>
                    <a:ea typeface="Arial"/>
                    <a:cs typeface="Arial"/>
                  </a:rPr>
                  <a:t>Pourcentages</a:t>
                </a:r>
              </a:p>
            </c:rich>
          </c:tx>
          <c:layout>
            <c:manualLayout>
              <c:xMode val="factor"/>
              <c:yMode val="factor"/>
              <c:x val="0.01675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7150285"/>
        <c:crossesAt val="1"/>
        <c:crossBetween val="between"/>
        <c:dispUnits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'Encodage réponses 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'Encodage réponses Es'!#REF!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58959587"/>
        <c:axId val="60874236"/>
      </c:barChart>
      <c:catAx>
        <c:axId val="589595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60874236"/>
        <c:crosses val="autoZero"/>
        <c:auto val="1"/>
        <c:lblOffset val="100"/>
        <c:noMultiLvlLbl val="0"/>
      </c:catAx>
      <c:valAx>
        <c:axId val="60874236"/>
        <c:scaling>
          <c:orientation val="minMax"/>
        </c:scaling>
        <c:axPos val="b"/>
        <c:delete val="1"/>
        <c:majorTickMark val="out"/>
        <c:minorTickMark val="none"/>
        <c:tickLblPos val="nextTo"/>
        <c:crossAx val="58959587"/>
        <c:crossesAt val="1"/>
        <c:crossBetween val="between"/>
        <c:dispUnits/>
      </c:valAx>
      <c:spPr>
        <a:solidFill>
          <a:srgbClr val="CC99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'Encodage réponses 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'Encodage réponses Es'!#REF!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10997213"/>
        <c:axId val="31866054"/>
      </c:barChart>
      <c:catAx>
        <c:axId val="109972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31866054"/>
        <c:crosses val="autoZero"/>
        <c:auto val="1"/>
        <c:lblOffset val="100"/>
        <c:noMultiLvlLbl val="0"/>
      </c:catAx>
      <c:valAx>
        <c:axId val="31866054"/>
        <c:scaling>
          <c:orientation val="minMax"/>
        </c:scaling>
        <c:axPos val="b"/>
        <c:delete val="1"/>
        <c:majorTickMark val="out"/>
        <c:minorTickMark val="none"/>
        <c:tickLblPos val="nextTo"/>
        <c:crossAx val="10997213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'Encodage réponses Es'!#REF!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'Encodage réponses 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'Encodage réponses Es'!#REF!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18359031"/>
        <c:axId val="31013552"/>
      </c:barChart>
      <c:catAx>
        <c:axId val="183590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31013552"/>
        <c:crosses val="autoZero"/>
        <c:auto val="1"/>
        <c:lblOffset val="100"/>
        <c:noMultiLvlLbl val="0"/>
      </c:catAx>
      <c:valAx>
        <c:axId val="31013552"/>
        <c:scaling>
          <c:orientation val="minMax"/>
        </c:scaling>
        <c:axPos val="b"/>
        <c:delete val="1"/>
        <c:majorTickMark val="out"/>
        <c:minorTickMark val="none"/>
        <c:tickLblPos val="nextTo"/>
        <c:crossAx val="18359031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65"/>
          <c:w val="0.99825"/>
          <c:h val="0.98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Résultats!$W$45:$W$54</c:f>
              <c:strCache/>
            </c:strRef>
          </c:cat>
          <c:val>
            <c:numRef>
              <c:f>Résultats!$X$45:$X$54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gapWidth val="20"/>
        <c:axId val="10686513"/>
        <c:axId val="29069754"/>
      </c:barChart>
      <c:catAx>
        <c:axId val="106865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9069754"/>
        <c:crosses val="autoZero"/>
        <c:auto val="1"/>
        <c:lblOffset val="100"/>
        <c:noMultiLvlLbl val="0"/>
      </c:catAx>
      <c:valAx>
        <c:axId val="29069754"/>
        <c:scaling>
          <c:orientation val="minMax"/>
        </c:scaling>
        <c:axPos val="b"/>
        <c:delete val="1"/>
        <c:majorTickMark val="out"/>
        <c:minorTickMark val="none"/>
        <c:tickLblPos val="nextTo"/>
        <c:crossAx val="10686513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625"/>
          <c:w val="0.9895"/>
          <c:h val="0.98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Résultats!$CV$45:$CV$54</c:f>
              <c:strCache/>
            </c:strRef>
          </c:cat>
          <c:val>
            <c:numRef>
              <c:f>Résultats!$CW$45:$CW$54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20"/>
        <c:axId val="60301195"/>
        <c:axId val="5839844"/>
      </c:barChart>
      <c:catAx>
        <c:axId val="603011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5839844"/>
        <c:crosses val="autoZero"/>
        <c:auto val="1"/>
        <c:lblOffset val="100"/>
        <c:noMultiLvlLbl val="0"/>
      </c:catAx>
      <c:valAx>
        <c:axId val="5839844"/>
        <c:scaling>
          <c:orientation val="minMax"/>
        </c:scaling>
        <c:axPos val="b"/>
        <c:delete val="1"/>
        <c:majorTickMark val="out"/>
        <c:minorTickMark val="none"/>
        <c:tickLblPos val="nextTo"/>
        <c:crossAx val="60301195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225"/>
          <c:w val="0.9835"/>
          <c:h val="0.975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Résultats!$DE$45:$DE$54</c:f>
              <c:strCache/>
            </c:strRef>
          </c:cat>
          <c:val>
            <c:numRef>
              <c:f>Résultats!$DF$45:$DF$54</c:f>
              <c:numCache>
                <c:ptCount val="1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20"/>
        <c:axId val="52558597"/>
        <c:axId val="3265326"/>
      </c:barChart>
      <c:catAx>
        <c:axId val="525585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265326"/>
        <c:crosses val="autoZero"/>
        <c:auto val="1"/>
        <c:lblOffset val="100"/>
        <c:noMultiLvlLbl val="0"/>
      </c:catAx>
      <c:valAx>
        <c:axId val="3265326"/>
        <c:scaling>
          <c:orientation val="minMax"/>
        </c:scaling>
        <c:axPos val="b"/>
        <c:delete val="1"/>
        <c:majorTickMark val="out"/>
        <c:minorTickMark val="none"/>
        <c:tickLblPos val="nextTo"/>
        <c:crossAx val="52558597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Résultats!#REF!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29387935"/>
        <c:axId val="63164824"/>
      </c:barChart>
      <c:catAx>
        <c:axId val="293879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63164824"/>
        <c:crosses val="autoZero"/>
        <c:auto val="1"/>
        <c:lblOffset val="100"/>
        <c:noMultiLvlLbl val="0"/>
      </c:catAx>
      <c:valAx>
        <c:axId val="63164824"/>
        <c:scaling>
          <c:orientation val="minMax"/>
        </c:scaling>
        <c:axPos val="b"/>
        <c:delete val="1"/>
        <c:majorTickMark val="out"/>
        <c:minorTickMark val="none"/>
        <c:tickLblPos val="nextTo"/>
        <c:crossAx val="29387935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chart" Target="/xl/charts/chart12.xml" /><Relationship Id="rId8" Type="http://schemas.openxmlformats.org/officeDocument/2006/relationships/chart" Target="/xl/charts/chart13.xml" /><Relationship Id="rId9" Type="http://schemas.openxmlformats.org/officeDocument/2006/relationships/chart" Target="/xl/charts/chart14.xml" /><Relationship Id="rId10" Type="http://schemas.openxmlformats.org/officeDocument/2006/relationships/chart" Target="/xl/charts/chart15.xml" /><Relationship Id="rId11" Type="http://schemas.openxmlformats.org/officeDocument/2006/relationships/chart" Target="/xl/charts/chart16.xml" /><Relationship Id="rId12" Type="http://schemas.openxmlformats.org/officeDocument/2006/relationships/chart" Target="/xl/charts/chart17.xml" /><Relationship Id="rId13" Type="http://schemas.openxmlformats.org/officeDocument/2006/relationships/chart" Target="/xl/charts/chart18.xml" /><Relationship Id="rId14" Type="http://schemas.openxmlformats.org/officeDocument/2006/relationships/chart" Target="/xl/charts/chart19.xml" /><Relationship Id="rId15" Type="http://schemas.openxmlformats.org/officeDocument/2006/relationships/chart" Target="/xl/charts/chart20.xml" /><Relationship Id="rId16" Type="http://schemas.openxmlformats.org/officeDocument/2006/relationships/chart" Target="/xl/charts/chart21.xml" /><Relationship Id="rId17" Type="http://schemas.openxmlformats.org/officeDocument/2006/relationships/chart" Target="/xl/charts/chart22.xml" /><Relationship Id="rId18" Type="http://schemas.openxmlformats.org/officeDocument/2006/relationships/chart" Target="/xl/charts/chart23.xml" /><Relationship Id="rId19" Type="http://schemas.openxmlformats.org/officeDocument/2006/relationships/chart" Target="/xl/charts/chart24.xml" /><Relationship Id="rId20" Type="http://schemas.openxmlformats.org/officeDocument/2006/relationships/chart" Target="/xl/charts/chart25.xml" /><Relationship Id="rId21" Type="http://schemas.openxmlformats.org/officeDocument/2006/relationships/chart" Target="/xl/charts/chart26.xml" /><Relationship Id="rId22" Type="http://schemas.openxmlformats.org/officeDocument/2006/relationships/chart" Target="/xl/charts/chart2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9525</xdr:rowOff>
    </xdr:from>
    <xdr:to>
      <xdr:col>2</xdr:col>
      <xdr:colOff>1285875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771525" y="9525"/>
          <a:ext cx="128587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0</xdr:colOff>
      <xdr:row>40</xdr:row>
      <xdr:rowOff>0</xdr:rowOff>
    </xdr:from>
    <xdr:to>
      <xdr:col>86</xdr:col>
      <xdr:colOff>0</xdr:colOff>
      <xdr:row>52</xdr:row>
      <xdr:rowOff>0</xdr:rowOff>
    </xdr:to>
    <xdr:graphicFrame>
      <xdr:nvGraphicFramePr>
        <xdr:cNvPr id="2" name="Chart 3"/>
        <xdr:cNvGraphicFramePr/>
      </xdr:nvGraphicFramePr>
      <xdr:xfrm>
        <a:off x="26393775" y="6410325"/>
        <a:ext cx="0" cy="165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86</xdr:col>
      <xdr:colOff>0</xdr:colOff>
      <xdr:row>40</xdr:row>
      <xdr:rowOff>0</xdr:rowOff>
    </xdr:from>
    <xdr:to>
      <xdr:col>86</xdr:col>
      <xdr:colOff>0</xdr:colOff>
      <xdr:row>52</xdr:row>
      <xdr:rowOff>0</xdr:rowOff>
    </xdr:to>
    <xdr:graphicFrame>
      <xdr:nvGraphicFramePr>
        <xdr:cNvPr id="3" name="Chart 40"/>
        <xdr:cNvGraphicFramePr/>
      </xdr:nvGraphicFramePr>
      <xdr:xfrm>
        <a:off x="26393775" y="6410325"/>
        <a:ext cx="0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86</xdr:col>
      <xdr:colOff>0</xdr:colOff>
      <xdr:row>40</xdr:row>
      <xdr:rowOff>0</xdr:rowOff>
    </xdr:from>
    <xdr:to>
      <xdr:col>86</xdr:col>
      <xdr:colOff>0</xdr:colOff>
      <xdr:row>52</xdr:row>
      <xdr:rowOff>0</xdr:rowOff>
    </xdr:to>
    <xdr:graphicFrame>
      <xdr:nvGraphicFramePr>
        <xdr:cNvPr id="4" name="Chart 41"/>
        <xdr:cNvGraphicFramePr/>
      </xdr:nvGraphicFramePr>
      <xdr:xfrm>
        <a:off x="26393775" y="6410325"/>
        <a:ext cx="0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86</xdr:col>
      <xdr:colOff>0</xdr:colOff>
      <xdr:row>40</xdr:row>
      <xdr:rowOff>0</xdr:rowOff>
    </xdr:from>
    <xdr:to>
      <xdr:col>86</xdr:col>
      <xdr:colOff>0</xdr:colOff>
      <xdr:row>52</xdr:row>
      <xdr:rowOff>0</xdr:rowOff>
    </xdr:to>
    <xdr:graphicFrame>
      <xdr:nvGraphicFramePr>
        <xdr:cNvPr id="5" name="Chart 58"/>
        <xdr:cNvGraphicFramePr/>
      </xdr:nvGraphicFramePr>
      <xdr:xfrm>
        <a:off x="26393775" y="6410325"/>
        <a:ext cx="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86</xdr:col>
      <xdr:colOff>0</xdr:colOff>
      <xdr:row>40</xdr:row>
      <xdr:rowOff>0</xdr:rowOff>
    </xdr:from>
    <xdr:to>
      <xdr:col>86</xdr:col>
      <xdr:colOff>0</xdr:colOff>
      <xdr:row>52</xdr:row>
      <xdr:rowOff>0</xdr:rowOff>
    </xdr:to>
    <xdr:graphicFrame>
      <xdr:nvGraphicFramePr>
        <xdr:cNvPr id="6" name="Chart 65"/>
        <xdr:cNvGraphicFramePr/>
      </xdr:nvGraphicFramePr>
      <xdr:xfrm>
        <a:off x="26393775" y="6410325"/>
        <a:ext cx="0" cy="1657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9525</xdr:rowOff>
    </xdr:from>
    <xdr:to>
      <xdr:col>2</xdr:col>
      <xdr:colOff>1266825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42950" y="9525"/>
          <a:ext cx="1266825" cy="1504950"/>
        </a:xfrm>
        <a:custGeom>
          <a:pathLst>
            <a:path h="111" w="134">
              <a:moveTo>
                <a:pt x="0" y="0"/>
              </a:moveTo>
              <a:lnTo>
                <a:pt x="46" y="95"/>
              </a:lnTo>
              <a:lnTo>
                <a:pt x="134" y="11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22</xdr:col>
      <xdr:colOff>9525</xdr:colOff>
      <xdr:row>42</xdr:row>
      <xdr:rowOff>28575</xdr:rowOff>
    </xdr:from>
    <xdr:ext cx="1485900" cy="1743075"/>
    <xdr:graphicFrame>
      <xdr:nvGraphicFramePr>
        <xdr:cNvPr id="2" name="Chart 5"/>
        <xdr:cNvGraphicFramePr/>
      </xdr:nvGraphicFramePr>
      <xdr:xfrm>
        <a:off x="14192250" y="7029450"/>
        <a:ext cx="1485900" cy="174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99</xdr:col>
      <xdr:colOff>0</xdr:colOff>
      <xdr:row>42</xdr:row>
      <xdr:rowOff>0</xdr:rowOff>
    </xdr:from>
    <xdr:ext cx="1524000" cy="1771650"/>
    <xdr:graphicFrame>
      <xdr:nvGraphicFramePr>
        <xdr:cNvPr id="3" name="Chart 12"/>
        <xdr:cNvGraphicFramePr/>
      </xdr:nvGraphicFramePr>
      <xdr:xfrm>
        <a:off x="47015400" y="7000875"/>
        <a:ext cx="1524000" cy="1771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108</xdr:col>
      <xdr:colOff>0</xdr:colOff>
      <xdr:row>42</xdr:row>
      <xdr:rowOff>0</xdr:rowOff>
    </xdr:from>
    <xdr:ext cx="1524000" cy="1771650"/>
    <xdr:graphicFrame>
      <xdr:nvGraphicFramePr>
        <xdr:cNvPr id="4" name="Chart 14"/>
        <xdr:cNvGraphicFramePr/>
      </xdr:nvGraphicFramePr>
      <xdr:xfrm>
        <a:off x="50606325" y="7000875"/>
        <a:ext cx="152400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110</xdr:col>
      <xdr:colOff>0</xdr:colOff>
      <xdr:row>42</xdr:row>
      <xdr:rowOff>0</xdr:rowOff>
    </xdr:from>
    <xdr:to>
      <xdr:col>110</xdr:col>
      <xdr:colOff>0</xdr:colOff>
      <xdr:row>54</xdr:row>
      <xdr:rowOff>0</xdr:rowOff>
    </xdr:to>
    <xdr:graphicFrame>
      <xdr:nvGraphicFramePr>
        <xdr:cNvPr id="5" name="Chart 15"/>
        <xdr:cNvGraphicFramePr/>
      </xdr:nvGraphicFramePr>
      <xdr:xfrm>
        <a:off x="52130325" y="7000875"/>
        <a:ext cx="0" cy="1781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124</xdr:col>
      <xdr:colOff>9525</xdr:colOff>
      <xdr:row>42</xdr:row>
      <xdr:rowOff>9525</xdr:rowOff>
    </xdr:from>
    <xdr:ext cx="1524000" cy="1762125"/>
    <xdr:graphicFrame>
      <xdr:nvGraphicFramePr>
        <xdr:cNvPr id="6" name="Chart 16"/>
        <xdr:cNvGraphicFramePr/>
      </xdr:nvGraphicFramePr>
      <xdr:xfrm>
        <a:off x="56273700" y="7010400"/>
        <a:ext cx="1524000" cy="1762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60</xdr:col>
      <xdr:colOff>0</xdr:colOff>
      <xdr:row>42</xdr:row>
      <xdr:rowOff>9525</xdr:rowOff>
    </xdr:from>
    <xdr:ext cx="1524000" cy="1762125"/>
    <xdr:graphicFrame>
      <xdr:nvGraphicFramePr>
        <xdr:cNvPr id="7" name="Chart 30"/>
        <xdr:cNvGraphicFramePr/>
      </xdr:nvGraphicFramePr>
      <xdr:xfrm>
        <a:off x="30451425" y="7010400"/>
        <a:ext cx="1524000" cy="1762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twoCellAnchor>
    <xdr:from>
      <xdr:col>60</xdr:col>
      <xdr:colOff>9525</xdr:colOff>
      <xdr:row>42</xdr:row>
      <xdr:rowOff>0</xdr:rowOff>
    </xdr:from>
    <xdr:to>
      <xdr:col>61</xdr:col>
      <xdr:colOff>781050</xdr:colOff>
      <xdr:row>54</xdr:row>
      <xdr:rowOff>0</xdr:rowOff>
    </xdr:to>
    <xdr:graphicFrame>
      <xdr:nvGraphicFramePr>
        <xdr:cNvPr id="8" name="Chart 31"/>
        <xdr:cNvGraphicFramePr/>
      </xdr:nvGraphicFramePr>
      <xdr:xfrm>
        <a:off x="30460950" y="7000875"/>
        <a:ext cx="1885950" cy="1781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oneCellAnchor>
    <xdr:from>
      <xdr:col>67</xdr:col>
      <xdr:colOff>0</xdr:colOff>
      <xdr:row>42</xdr:row>
      <xdr:rowOff>0</xdr:rowOff>
    </xdr:from>
    <xdr:ext cx="1524000" cy="1771650"/>
    <xdr:graphicFrame>
      <xdr:nvGraphicFramePr>
        <xdr:cNvPr id="9" name="Chart 32"/>
        <xdr:cNvGraphicFramePr/>
      </xdr:nvGraphicFramePr>
      <xdr:xfrm>
        <a:off x="33832800" y="7000875"/>
        <a:ext cx="1524000" cy="1771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oneCellAnchor>
  <xdr:oneCellAnchor>
    <xdr:from>
      <xdr:col>85</xdr:col>
      <xdr:colOff>9525</xdr:colOff>
      <xdr:row>42</xdr:row>
      <xdr:rowOff>0</xdr:rowOff>
    </xdr:from>
    <xdr:ext cx="1514475" cy="1771650"/>
    <xdr:graphicFrame>
      <xdr:nvGraphicFramePr>
        <xdr:cNvPr id="10" name="Chart 33"/>
        <xdr:cNvGraphicFramePr/>
      </xdr:nvGraphicFramePr>
      <xdr:xfrm>
        <a:off x="41957625" y="7000875"/>
        <a:ext cx="1514475" cy="1771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oneCellAnchor>
  <xdr:oneCellAnchor>
    <xdr:from>
      <xdr:col>40</xdr:col>
      <xdr:colOff>9525</xdr:colOff>
      <xdr:row>42</xdr:row>
      <xdr:rowOff>9525</xdr:rowOff>
    </xdr:from>
    <xdr:ext cx="1495425" cy="1771650"/>
    <xdr:graphicFrame>
      <xdr:nvGraphicFramePr>
        <xdr:cNvPr id="11" name="Chart 36"/>
        <xdr:cNvGraphicFramePr/>
      </xdr:nvGraphicFramePr>
      <xdr:xfrm>
        <a:off x="20431125" y="7010400"/>
        <a:ext cx="1495425" cy="17716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oneCellAnchor>
  <xdr:oneCellAnchor>
    <xdr:from>
      <xdr:col>48</xdr:col>
      <xdr:colOff>0</xdr:colOff>
      <xdr:row>42</xdr:row>
      <xdr:rowOff>9525</xdr:rowOff>
    </xdr:from>
    <xdr:ext cx="1524000" cy="1771650"/>
    <xdr:graphicFrame>
      <xdr:nvGraphicFramePr>
        <xdr:cNvPr id="12" name="Chart 37"/>
        <xdr:cNvGraphicFramePr/>
      </xdr:nvGraphicFramePr>
      <xdr:xfrm>
        <a:off x="25022175" y="7010400"/>
        <a:ext cx="1524000" cy="17716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oneCellAnchor>
  <xdr:twoCellAnchor>
    <xdr:from>
      <xdr:col>60</xdr:col>
      <xdr:colOff>0</xdr:colOff>
      <xdr:row>42</xdr:row>
      <xdr:rowOff>0</xdr:rowOff>
    </xdr:from>
    <xdr:to>
      <xdr:col>60</xdr:col>
      <xdr:colOff>0</xdr:colOff>
      <xdr:row>54</xdr:row>
      <xdr:rowOff>0</xdr:rowOff>
    </xdr:to>
    <xdr:graphicFrame>
      <xdr:nvGraphicFramePr>
        <xdr:cNvPr id="13" name="Chart 58"/>
        <xdr:cNvGraphicFramePr/>
      </xdr:nvGraphicFramePr>
      <xdr:xfrm>
        <a:off x="30451425" y="7000875"/>
        <a:ext cx="0" cy="1781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42</xdr:col>
      <xdr:colOff>9525</xdr:colOff>
      <xdr:row>42</xdr:row>
      <xdr:rowOff>9525</xdr:rowOff>
    </xdr:from>
    <xdr:to>
      <xdr:col>43</xdr:col>
      <xdr:colOff>781050</xdr:colOff>
      <xdr:row>54</xdr:row>
      <xdr:rowOff>9525</xdr:rowOff>
    </xdr:to>
    <xdr:graphicFrame>
      <xdr:nvGraphicFramePr>
        <xdr:cNvPr id="14" name="Chart 61"/>
        <xdr:cNvGraphicFramePr/>
      </xdr:nvGraphicFramePr>
      <xdr:xfrm>
        <a:off x="21945600" y="7010400"/>
        <a:ext cx="1885950" cy="1781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oneCellAnchor>
    <xdr:from>
      <xdr:col>58</xdr:col>
      <xdr:colOff>0</xdr:colOff>
      <xdr:row>42</xdr:row>
      <xdr:rowOff>9525</xdr:rowOff>
    </xdr:from>
    <xdr:ext cx="1514475" cy="1762125"/>
    <xdr:graphicFrame>
      <xdr:nvGraphicFramePr>
        <xdr:cNvPr id="15" name="Chart 64"/>
        <xdr:cNvGraphicFramePr/>
      </xdr:nvGraphicFramePr>
      <xdr:xfrm>
        <a:off x="28908375" y="7010400"/>
        <a:ext cx="1514475" cy="17621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oneCellAnchor>
  <xdr:twoCellAnchor>
    <xdr:from>
      <xdr:col>60</xdr:col>
      <xdr:colOff>0</xdr:colOff>
      <xdr:row>42</xdr:row>
      <xdr:rowOff>0</xdr:rowOff>
    </xdr:from>
    <xdr:to>
      <xdr:col>60</xdr:col>
      <xdr:colOff>0</xdr:colOff>
      <xdr:row>54</xdr:row>
      <xdr:rowOff>0</xdr:rowOff>
    </xdr:to>
    <xdr:graphicFrame>
      <xdr:nvGraphicFramePr>
        <xdr:cNvPr id="16" name="Chart 66"/>
        <xdr:cNvGraphicFramePr/>
      </xdr:nvGraphicFramePr>
      <xdr:xfrm>
        <a:off x="30451425" y="7000875"/>
        <a:ext cx="0" cy="17811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oneCellAnchor>
    <xdr:from>
      <xdr:col>74</xdr:col>
      <xdr:colOff>0</xdr:colOff>
      <xdr:row>42</xdr:row>
      <xdr:rowOff>0</xdr:rowOff>
    </xdr:from>
    <xdr:ext cx="1514475" cy="1771650"/>
    <xdr:graphicFrame>
      <xdr:nvGraphicFramePr>
        <xdr:cNvPr id="17" name="Chart 67"/>
        <xdr:cNvGraphicFramePr/>
      </xdr:nvGraphicFramePr>
      <xdr:xfrm>
        <a:off x="36833175" y="7000875"/>
        <a:ext cx="1514475" cy="17716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oneCellAnchor>
  <xdr:oneCellAnchor>
    <xdr:from>
      <xdr:col>78</xdr:col>
      <xdr:colOff>9525</xdr:colOff>
      <xdr:row>42</xdr:row>
      <xdr:rowOff>0</xdr:rowOff>
    </xdr:from>
    <xdr:ext cx="1514475" cy="1771650"/>
    <xdr:graphicFrame>
      <xdr:nvGraphicFramePr>
        <xdr:cNvPr id="18" name="Chart 68"/>
        <xdr:cNvGraphicFramePr/>
      </xdr:nvGraphicFramePr>
      <xdr:xfrm>
        <a:off x="38957250" y="7000875"/>
        <a:ext cx="1514475" cy="17716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oneCellAnchor>
  <xdr:twoCellAnchor>
    <xdr:from>
      <xdr:col>4</xdr:col>
      <xdr:colOff>0</xdr:colOff>
      <xdr:row>42</xdr:row>
      <xdr:rowOff>0</xdr:rowOff>
    </xdr:from>
    <xdr:to>
      <xdr:col>6</xdr:col>
      <xdr:colOff>0</xdr:colOff>
      <xdr:row>54</xdr:row>
      <xdr:rowOff>0</xdr:rowOff>
    </xdr:to>
    <xdr:graphicFrame>
      <xdr:nvGraphicFramePr>
        <xdr:cNvPr id="19" name="Chart 69"/>
        <xdr:cNvGraphicFramePr/>
      </xdr:nvGraphicFramePr>
      <xdr:xfrm>
        <a:off x="2409825" y="7000875"/>
        <a:ext cx="1714500" cy="17811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11</xdr:col>
      <xdr:colOff>0</xdr:colOff>
      <xdr:row>42</xdr:row>
      <xdr:rowOff>9525</xdr:rowOff>
    </xdr:from>
    <xdr:to>
      <xdr:col>13</xdr:col>
      <xdr:colOff>0</xdr:colOff>
      <xdr:row>54</xdr:row>
      <xdr:rowOff>9525</xdr:rowOff>
    </xdr:to>
    <xdr:graphicFrame>
      <xdr:nvGraphicFramePr>
        <xdr:cNvPr id="20" name="Chart 74"/>
        <xdr:cNvGraphicFramePr/>
      </xdr:nvGraphicFramePr>
      <xdr:xfrm>
        <a:off x="6896100" y="7010400"/>
        <a:ext cx="1619250" cy="17811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15</xdr:col>
      <xdr:colOff>0</xdr:colOff>
      <xdr:row>42</xdr:row>
      <xdr:rowOff>0</xdr:rowOff>
    </xdr:from>
    <xdr:to>
      <xdr:col>16</xdr:col>
      <xdr:colOff>800100</xdr:colOff>
      <xdr:row>54</xdr:row>
      <xdr:rowOff>0</xdr:rowOff>
    </xdr:to>
    <xdr:graphicFrame>
      <xdr:nvGraphicFramePr>
        <xdr:cNvPr id="21" name="Chart 75"/>
        <xdr:cNvGraphicFramePr/>
      </xdr:nvGraphicFramePr>
      <xdr:xfrm>
        <a:off x="10134600" y="7000875"/>
        <a:ext cx="1609725" cy="17811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9</xdr:col>
      <xdr:colOff>0</xdr:colOff>
      <xdr:row>42</xdr:row>
      <xdr:rowOff>0</xdr:rowOff>
    </xdr:from>
    <xdr:to>
      <xdr:col>11</xdr:col>
      <xdr:colOff>0</xdr:colOff>
      <xdr:row>54</xdr:row>
      <xdr:rowOff>0</xdr:rowOff>
    </xdr:to>
    <xdr:graphicFrame>
      <xdr:nvGraphicFramePr>
        <xdr:cNvPr id="22" name="Chart 76"/>
        <xdr:cNvGraphicFramePr/>
      </xdr:nvGraphicFramePr>
      <xdr:xfrm>
        <a:off x="5276850" y="7000875"/>
        <a:ext cx="1619250" cy="17811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13</xdr:col>
      <xdr:colOff>0</xdr:colOff>
      <xdr:row>42</xdr:row>
      <xdr:rowOff>0</xdr:rowOff>
    </xdr:from>
    <xdr:to>
      <xdr:col>15</xdr:col>
      <xdr:colOff>0</xdr:colOff>
      <xdr:row>54</xdr:row>
      <xdr:rowOff>0</xdr:rowOff>
    </xdr:to>
    <xdr:graphicFrame>
      <xdr:nvGraphicFramePr>
        <xdr:cNvPr id="23" name="Chart 77"/>
        <xdr:cNvGraphicFramePr/>
      </xdr:nvGraphicFramePr>
      <xdr:xfrm>
        <a:off x="8515350" y="7000875"/>
        <a:ext cx="1619250" cy="17811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50</xdr:row>
      <xdr:rowOff>123825</xdr:rowOff>
    </xdr:from>
    <xdr:to>
      <xdr:col>8</xdr:col>
      <xdr:colOff>0</xdr:colOff>
      <xdr:row>50</xdr:row>
      <xdr:rowOff>123825</xdr:rowOff>
    </xdr:to>
    <xdr:sp>
      <xdr:nvSpPr>
        <xdr:cNvPr id="1" name="Line 4"/>
        <xdr:cNvSpPr>
          <a:spLocks/>
        </xdr:cNvSpPr>
      </xdr:nvSpPr>
      <xdr:spPr>
        <a:xfrm flipH="1">
          <a:off x="10344150" y="9039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28575</xdr:rowOff>
    </xdr:from>
    <xdr:to>
      <xdr:col>22</xdr:col>
      <xdr:colOff>1524000</xdr:colOff>
      <xdr:row>43</xdr:row>
      <xdr:rowOff>0</xdr:rowOff>
    </xdr:to>
    <xdr:graphicFrame>
      <xdr:nvGraphicFramePr>
        <xdr:cNvPr id="2" name="Chart 7"/>
        <xdr:cNvGraphicFramePr/>
      </xdr:nvGraphicFramePr>
      <xdr:xfrm>
        <a:off x="10610850" y="28575"/>
        <a:ext cx="11801475" cy="728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1">
      <selection activeCell="A2" sqref="A2"/>
    </sheetView>
  </sheetViews>
  <sheetFormatPr defaultColWidth="11.421875" defaultRowHeight="12.75"/>
  <sheetData>
    <row r="1" spans="1:14" ht="15">
      <c r="A1" s="252" t="s">
        <v>123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</row>
    <row r="2" spans="1:14" ht="15">
      <c r="A2" s="252"/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</row>
    <row r="3" spans="1:14" ht="15">
      <c r="A3" s="326" t="s">
        <v>109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253"/>
      <c r="N3" s="253"/>
    </row>
    <row r="4" spans="1:14" ht="15">
      <c r="A4" s="252" t="s">
        <v>110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</row>
    <row r="5" spans="1:14" ht="15.75">
      <c r="A5" s="252" t="s">
        <v>111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</row>
    <row r="6" spans="1:14" ht="12.75">
      <c r="A6" s="253"/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</row>
    <row r="7" spans="1:14" ht="15.75">
      <c r="A7" s="254" t="s">
        <v>112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</row>
    <row r="8" spans="1:14" ht="15.75">
      <c r="A8" s="254"/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</row>
    <row r="9" spans="1:14" ht="15">
      <c r="A9" s="252" t="s">
        <v>124</v>
      </c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</row>
    <row r="10" spans="1:14" ht="15">
      <c r="A10" s="252" t="s">
        <v>113</v>
      </c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</row>
    <row r="11" spans="1:14" ht="15">
      <c r="A11" s="252" t="s">
        <v>114</v>
      </c>
      <c r="B11" s="253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</row>
    <row r="12" spans="1:14" ht="15">
      <c r="A12" s="252" t="s">
        <v>115</v>
      </c>
      <c r="B12" s="253"/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</row>
    <row r="13" spans="1:14" ht="15">
      <c r="A13" s="252" t="s">
        <v>116</v>
      </c>
      <c r="B13" s="253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</row>
    <row r="14" spans="1:14" ht="15">
      <c r="A14" s="252" t="s">
        <v>117</v>
      </c>
      <c r="B14" s="253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</row>
    <row r="15" spans="1:14" ht="15">
      <c r="A15" s="252" t="s">
        <v>118</v>
      </c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</row>
    <row r="16" spans="1:14" ht="15">
      <c r="A16" s="252" t="s">
        <v>119</v>
      </c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</row>
    <row r="17" spans="1:14" ht="15">
      <c r="A17" s="252"/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</row>
    <row r="18" spans="1:14" ht="15">
      <c r="A18" s="252"/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</row>
    <row r="19" spans="1:14" ht="15.75">
      <c r="A19" s="254" t="s">
        <v>120</v>
      </c>
      <c r="B19" s="253"/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</row>
    <row r="20" spans="1:14" ht="12.75">
      <c r="A20" s="253"/>
      <c r="B20" s="253"/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</row>
    <row r="21" spans="1:14" ht="12.75">
      <c r="A21" s="255" t="s">
        <v>121</v>
      </c>
      <c r="B21" s="253"/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</row>
    <row r="22" spans="1:14" ht="12.75">
      <c r="A22" s="253" t="s">
        <v>122</v>
      </c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</row>
    <row r="23" spans="1:14" ht="15">
      <c r="A23" s="252"/>
      <c r="B23" s="253"/>
      <c r="C23" s="253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</row>
  </sheetData>
  <sheetProtection sheet="1" objects="1" scenarios="1"/>
  <mergeCells count="1">
    <mergeCell ref="A3:L3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CH53"/>
  <sheetViews>
    <sheetView tabSelected="1" view="pageBreakPreview" zoomScaleSheetLayoutView="100" workbookViewId="0" topLeftCell="A1">
      <pane xSplit="3" ySplit="2" topLeftCell="E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3" sqref="E3"/>
    </sheetView>
  </sheetViews>
  <sheetFormatPr defaultColWidth="11.421875" defaultRowHeight="12.75"/>
  <cols>
    <col min="1" max="1" width="4.8515625" style="98" customWidth="1"/>
    <col min="2" max="2" width="6.7109375" style="98" bestFit="1" customWidth="1"/>
    <col min="3" max="3" width="21.28125" style="99" customWidth="1"/>
    <col min="4" max="4" width="7.00390625" style="99" hidden="1" customWidth="1"/>
    <col min="5" max="85" width="4.421875" style="98" customWidth="1"/>
    <col min="86" max="86" width="4.28125" style="98" customWidth="1"/>
    <col min="87" max="16384" width="11.421875" style="98" customWidth="1"/>
  </cols>
  <sheetData>
    <row r="1" spans="1:86" s="91" customFormat="1" ht="36" customHeight="1" thickBot="1">
      <c r="A1" s="194" t="s">
        <v>103</v>
      </c>
      <c r="B1" s="195"/>
      <c r="C1" s="206" t="s">
        <v>75</v>
      </c>
      <c r="D1" s="206"/>
      <c r="E1" s="208">
        <v>1</v>
      </c>
      <c r="F1" s="88">
        <v>2</v>
      </c>
      <c r="G1" s="88">
        <v>3</v>
      </c>
      <c r="H1" s="88">
        <v>4</v>
      </c>
      <c r="I1" s="88">
        <v>5</v>
      </c>
      <c r="J1" s="88">
        <v>6</v>
      </c>
      <c r="K1" s="88">
        <v>7</v>
      </c>
      <c r="L1" s="88">
        <v>8</v>
      </c>
      <c r="M1" s="88">
        <v>9</v>
      </c>
      <c r="N1" s="88">
        <v>10</v>
      </c>
      <c r="O1" s="88">
        <v>11</v>
      </c>
      <c r="P1" s="88">
        <v>12</v>
      </c>
      <c r="Q1" s="88">
        <v>13</v>
      </c>
      <c r="R1" s="88">
        <v>14</v>
      </c>
      <c r="S1" s="88">
        <v>15</v>
      </c>
      <c r="T1" s="88">
        <v>16</v>
      </c>
      <c r="U1" s="88">
        <v>17</v>
      </c>
      <c r="V1" s="88">
        <v>18</v>
      </c>
      <c r="W1" s="88">
        <v>19</v>
      </c>
      <c r="X1" s="88">
        <v>20</v>
      </c>
      <c r="Y1" s="88">
        <v>21</v>
      </c>
      <c r="Z1" s="88">
        <v>22</v>
      </c>
      <c r="AA1" s="88">
        <v>23</v>
      </c>
      <c r="AB1" s="88">
        <v>24</v>
      </c>
      <c r="AC1" s="88">
        <v>25</v>
      </c>
      <c r="AD1" s="88">
        <v>26</v>
      </c>
      <c r="AE1" s="88">
        <v>27</v>
      </c>
      <c r="AF1" s="88">
        <v>28</v>
      </c>
      <c r="AG1" s="88">
        <v>29</v>
      </c>
      <c r="AH1" s="88">
        <v>30</v>
      </c>
      <c r="AI1" s="88">
        <v>31</v>
      </c>
      <c r="AJ1" s="87">
        <v>32</v>
      </c>
      <c r="AK1" s="87">
        <v>33</v>
      </c>
      <c r="AL1" s="87">
        <v>34</v>
      </c>
      <c r="AM1" s="87">
        <v>35</v>
      </c>
      <c r="AN1" s="87">
        <v>36</v>
      </c>
      <c r="AO1" s="87">
        <v>37</v>
      </c>
      <c r="AP1" s="87">
        <v>38</v>
      </c>
      <c r="AQ1" s="87">
        <v>39</v>
      </c>
      <c r="AR1" s="87">
        <v>40</v>
      </c>
      <c r="AS1" s="87">
        <v>41</v>
      </c>
      <c r="AT1" s="87">
        <v>42</v>
      </c>
      <c r="AU1" s="87">
        <v>43</v>
      </c>
      <c r="AV1" s="87">
        <v>44</v>
      </c>
      <c r="AW1" s="87">
        <v>45</v>
      </c>
      <c r="AX1" s="87">
        <v>46</v>
      </c>
      <c r="AY1" s="87">
        <v>47</v>
      </c>
      <c r="AZ1" s="87">
        <v>48</v>
      </c>
      <c r="BA1" s="87">
        <v>49</v>
      </c>
      <c r="BB1" s="87">
        <v>50</v>
      </c>
      <c r="BC1" s="89">
        <v>51</v>
      </c>
      <c r="BD1" s="89">
        <v>52</v>
      </c>
      <c r="BE1" s="89">
        <v>53</v>
      </c>
      <c r="BF1" s="89">
        <v>54</v>
      </c>
      <c r="BG1" s="89">
        <v>55</v>
      </c>
      <c r="BH1" s="89">
        <v>56</v>
      </c>
      <c r="BI1" s="89">
        <v>57</v>
      </c>
      <c r="BJ1" s="89">
        <v>58</v>
      </c>
      <c r="BK1" s="89">
        <v>59</v>
      </c>
      <c r="BL1" s="89">
        <v>60</v>
      </c>
      <c r="BM1" s="89">
        <v>61</v>
      </c>
      <c r="BN1" s="89">
        <v>62</v>
      </c>
      <c r="BO1" s="89">
        <v>63</v>
      </c>
      <c r="BP1" s="89">
        <v>64</v>
      </c>
      <c r="BQ1" s="90">
        <v>65</v>
      </c>
      <c r="BR1" s="90">
        <v>66</v>
      </c>
      <c r="BS1" s="90">
        <v>67</v>
      </c>
      <c r="BT1" s="90">
        <v>68</v>
      </c>
      <c r="BU1" s="90">
        <v>69</v>
      </c>
      <c r="BV1" s="90">
        <v>70</v>
      </c>
      <c r="BW1" s="90">
        <v>71</v>
      </c>
      <c r="BX1" s="90">
        <v>72</v>
      </c>
      <c r="BY1" s="90">
        <v>73</v>
      </c>
      <c r="BZ1" s="90">
        <v>74</v>
      </c>
      <c r="CA1" s="90">
        <v>75</v>
      </c>
      <c r="CB1" s="90">
        <v>76</v>
      </c>
      <c r="CC1" s="90">
        <v>77</v>
      </c>
      <c r="CD1" s="90">
        <v>78</v>
      </c>
      <c r="CE1" s="90">
        <v>79</v>
      </c>
      <c r="CF1" s="90">
        <v>80</v>
      </c>
      <c r="CG1" s="90">
        <v>81</v>
      </c>
      <c r="CH1" s="232" t="s">
        <v>3</v>
      </c>
    </row>
    <row r="2" spans="1:86" s="94" customFormat="1" ht="47.25" thickBot="1">
      <c r="A2" s="224" t="s">
        <v>74</v>
      </c>
      <c r="B2" s="92"/>
      <c r="C2" s="207" t="s">
        <v>125</v>
      </c>
      <c r="D2" s="281"/>
      <c r="E2" s="209" t="s">
        <v>7</v>
      </c>
      <c r="F2" s="112" t="s">
        <v>7</v>
      </c>
      <c r="G2" s="112" t="s">
        <v>7</v>
      </c>
      <c r="H2" s="112" t="s">
        <v>7</v>
      </c>
      <c r="I2" s="112" t="s">
        <v>7</v>
      </c>
      <c r="J2" s="112" t="s">
        <v>7</v>
      </c>
      <c r="K2" s="112" t="s">
        <v>7</v>
      </c>
      <c r="L2" s="112" t="s">
        <v>7</v>
      </c>
      <c r="M2" s="112" t="s">
        <v>7</v>
      </c>
      <c r="N2" s="112" t="s">
        <v>7</v>
      </c>
      <c r="O2" s="112" t="s">
        <v>7</v>
      </c>
      <c r="P2" s="112" t="s">
        <v>7</v>
      </c>
      <c r="Q2" s="112" t="s">
        <v>7</v>
      </c>
      <c r="R2" s="112" t="s">
        <v>7</v>
      </c>
      <c r="S2" s="112" t="s">
        <v>7</v>
      </c>
      <c r="T2" s="112" t="s">
        <v>7</v>
      </c>
      <c r="U2" s="112" t="s">
        <v>7</v>
      </c>
      <c r="V2" s="112" t="s">
        <v>7</v>
      </c>
      <c r="W2" s="112" t="s">
        <v>7</v>
      </c>
      <c r="X2" s="112" t="s">
        <v>7</v>
      </c>
      <c r="Y2" s="112" t="s">
        <v>7</v>
      </c>
      <c r="Z2" s="112" t="s">
        <v>7</v>
      </c>
      <c r="AA2" s="112" t="s">
        <v>7</v>
      </c>
      <c r="AB2" s="112" t="s">
        <v>8</v>
      </c>
      <c r="AC2" s="112" t="s">
        <v>7</v>
      </c>
      <c r="AD2" s="112" t="s">
        <v>7</v>
      </c>
      <c r="AE2" s="112" t="s">
        <v>7</v>
      </c>
      <c r="AF2" s="112" t="s">
        <v>7</v>
      </c>
      <c r="AG2" s="112" t="s">
        <v>7</v>
      </c>
      <c r="AH2" s="112" t="s">
        <v>7</v>
      </c>
      <c r="AI2" s="112" t="s">
        <v>7</v>
      </c>
      <c r="AJ2" s="112" t="s">
        <v>7</v>
      </c>
      <c r="AK2" s="112" t="s">
        <v>7</v>
      </c>
      <c r="AL2" s="112" t="s">
        <v>7</v>
      </c>
      <c r="AM2" s="112" t="s">
        <v>7</v>
      </c>
      <c r="AN2" s="112" t="s">
        <v>7</v>
      </c>
      <c r="AO2" s="112" t="s">
        <v>7</v>
      </c>
      <c r="AP2" s="112" t="s">
        <v>7</v>
      </c>
      <c r="AQ2" s="112" t="s">
        <v>7</v>
      </c>
      <c r="AR2" s="112" t="s">
        <v>7</v>
      </c>
      <c r="AS2" s="112" t="s">
        <v>7</v>
      </c>
      <c r="AT2" s="112" t="s">
        <v>7</v>
      </c>
      <c r="AU2" s="112" t="s">
        <v>7</v>
      </c>
      <c r="AV2" s="112" t="s">
        <v>7</v>
      </c>
      <c r="AW2" s="112" t="s">
        <v>7</v>
      </c>
      <c r="AX2" s="112" t="s">
        <v>7</v>
      </c>
      <c r="AY2" s="112" t="s">
        <v>7</v>
      </c>
      <c r="AZ2" s="112" t="s">
        <v>7</v>
      </c>
      <c r="BA2" s="112" t="s">
        <v>7</v>
      </c>
      <c r="BB2" s="112" t="s">
        <v>7</v>
      </c>
      <c r="BC2" s="112" t="s">
        <v>7</v>
      </c>
      <c r="BD2" s="112" t="s">
        <v>7</v>
      </c>
      <c r="BE2" s="112" t="s">
        <v>7</v>
      </c>
      <c r="BF2" s="112" t="s">
        <v>7</v>
      </c>
      <c r="BG2" s="112" t="s">
        <v>7</v>
      </c>
      <c r="BH2" s="112" t="s">
        <v>7</v>
      </c>
      <c r="BI2" s="112" t="s">
        <v>7</v>
      </c>
      <c r="BJ2" s="112" t="s">
        <v>7</v>
      </c>
      <c r="BK2" s="112" t="s">
        <v>7</v>
      </c>
      <c r="BL2" s="112" t="s">
        <v>7</v>
      </c>
      <c r="BM2" s="112" t="s">
        <v>7</v>
      </c>
      <c r="BN2" s="112" t="s">
        <v>7</v>
      </c>
      <c r="BO2" s="112" t="s">
        <v>7</v>
      </c>
      <c r="BP2" s="112" t="s">
        <v>7</v>
      </c>
      <c r="BQ2" s="112" t="s">
        <v>7</v>
      </c>
      <c r="BR2" s="112" t="s">
        <v>7</v>
      </c>
      <c r="BS2" s="112" t="s">
        <v>7</v>
      </c>
      <c r="BT2" s="112" t="s">
        <v>7</v>
      </c>
      <c r="BU2" s="287" t="s">
        <v>126</v>
      </c>
      <c r="BV2" s="112" t="s">
        <v>7</v>
      </c>
      <c r="BW2" s="112" t="s">
        <v>7</v>
      </c>
      <c r="BX2" s="112" t="s">
        <v>8</v>
      </c>
      <c r="BY2" s="112" t="s">
        <v>7</v>
      </c>
      <c r="BZ2" s="112" t="s">
        <v>7</v>
      </c>
      <c r="CA2" s="112" t="s">
        <v>7</v>
      </c>
      <c r="CB2" s="112" t="s">
        <v>7</v>
      </c>
      <c r="CC2" s="112" t="s">
        <v>7</v>
      </c>
      <c r="CD2" s="112" t="s">
        <v>7</v>
      </c>
      <c r="CE2" s="112" t="s">
        <v>7</v>
      </c>
      <c r="CF2" s="112" t="s">
        <v>7</v>
      </c>
      <c r="CG2" s="112" t="s">
        <v>7</v>
      </c>
      <c r="CH2" s="114" t="s">
        <v>72</v>
      </c>
    </row>
    <row r="3" spans="1:86" s="93" customFormat="1" ht="11.25" customHeight="1">
      <c r="A3" s="328"/>
      <c r="B3" s="329"/>
      <c r="C3" s="274">
        <v>1</v>
      </c>
      <c r="D3" s="282">
        <f>IF(COUNTBLANK(E3:CG3)=81,0,1)</f>
        <v>0</v>
      </c>
      <c r="E3" s="210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5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117">
        <f>IF(COUNTA(E3:CG3)=0,"",IF(COUNTIF(E3:CG3,"a")&gt;0,"a",IF(COUNTA(E3:CG3)&lt;81,"!","")))</f>
      </c>
    </row>
    <row r="4" spans="1:86" s="93" customFormat="1" ht="11.25" customHeight="1">
      <c r="A4" s="225"/>
      <c r="B4"/>
      <c r="C4" s="275">
        <v>2</v>
      </c>
      <c r="D4" s="282">
        <f aca="true" t="shared" si="0" ref="D4:D36">IF(COUNTBLANK(E4:CG4)=81,0,1)</f>
        <v>0</v>
      </c>
      <c r="E4" s="210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5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95">
        <f aca="true" t="shared" si="1" ref="CH4:CH36">IF(COUNTA(E4:CG4)=0,"",IF(COUNTIF(E4:CG4,"a")&gt;0,"a",IF(COUNTA(E4:CG4)&lt;81,"!","")))</f>
      </c>
    </row>
    <row r="5" spans="1:86" s="93" customFormat="1" ht="11.25" customHeight="1">
      <c r="A5" s="225"/>
      <c r="B5"/>
      <c r="C5" s="275">
        <v>3</v>
      </c>
      <c r="D5" s="282">
        <f t="shared" si="0"/>
        <v>0</v>
      </c>
      <c r="E5" s="210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5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95">
        <f t="shared" si="1"/>
      </c>
    </row>
    <row r="6" spans="1:86" s="93" customFormat="1" ht="11.25" customHeight="1">
      <c r="A6" s="225"/>
      <c r="B6"/>
      <c r="C6" s="275">
        <v>4</v>
      </c>
      <c r="D6" s="282">
        <f t="shared" si="0"/>
        <v>0</v>
      </c>
      <c r="E6" s="210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5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95">
        <f t="shared" si="1"/>
      </c>
    </row>
    <row r="7" spans="1:86" s="93" customFormat="1" ht="11.25" customHeight="1">
      <c r="A7" s="225"/>
      <c r="B7"/>
      <c r="C7" s="275">
        <v>5</v>
      </c>
      <c r="D7" s="282">
        <f t="shared" si="0"/>
        <v>0</v>
      </c>
      <c r="E7" s="210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5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95">
        <f t="shared" si="1"/>
      </c>
    </row>
    <row r="8" spans="1:86" s="93" customFormat="1" ht="11.25" customHeight="1">
      <c r="A8" s="225"/>
      <c r="B8"/>
      <c r="C8" s="275">
        <v>6</v>
      </c>
      <c r="D8" s="282">
        <f t="shared" si="0"/>
        <v>0</v>
      </c>
      <c r="E8" s="210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5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95">
        <f t="shared" si="1"/>
      </c>
    </row>
    <row r="9" spans="1:86" s="93" customFormat="1" ht="11.25" customHeight="1">
      <c r="A9" s="225"/>
      <c r="B9"/>
      <c r="C9" s="275">
        <v>7</v>
      </c>
      <c r="D9" s="282">
        <f t="shared" si="0"/>
        <v>0</v>
      </c>
      <c r="E9" s="210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5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95">
        <f t="shared" si="1"/>
      </c>
    </row>
    <row r="10" spans="1:86" s="93" customFormat="1" ht="11.25" customHeight="1">
      <c r="A10" s="225"/>
      <c r="B10"/>
      <c r="C10" s="275">
        <v>8</v>
      </c>
      <c r="D10" s="282">
        <f t="shared" si="0"/>
        <v>0</v>
      </c>
      <c r="E10" s="210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5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95">
        <f t="shared" si="1"/>
      </c>
    </row>
    <row r="11" spans="1:86" s="93" customFormat="1" ht="11.25" customHeight="1">
      <c r="A11" s="225"/>
      <c r="B11"/>
      <c r="C11" s="275">
        <v>9</v>
      </c>
      <c r="D11" s="282">
        <f t="shared" si="0"/>
        <v>0</v>
      </c>
      <c r="E11" s="210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5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95">
        <f t="shared" si="1"/>
      </c>
    </row>
    <row r="12" spans="1:86" s="93" customFormat="1" ht="11.25" customHeight="1">
      <c r="A12" s="225"/>
      <c r="B12"/>
      <c r="C12" s="275">
        <v>10</v>
      </c>
      <c r="D12" s="282">
        <f t="shared" si="0"/>
        <v>0</v>
      </c>
      <c r="E12" s="210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113"/>
      <c r="AD12" s="113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5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95">
        <f t="shared" si="1"/>
      </c>
    </row>
    <row r="13" spans="1:86" s="93" customFormat="1" ht="11.25" customHeight="1">
      <c r="A13" s="225"/>
      <c r="B13"/>
      <c r="C13" s="275">
        <v>11</v>
      </c>
      <c r="D13" s="282">
        <f t="shared" si="0"/>
        <v>0</v>
      </c>
      <c r="E13" s="210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5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95">
        <f t="shared" si="1"/>
      </c>
    </row>
    <row r="14" spans="1:86" s="93" customFormat="1" ht="11.25" customHeight="1">
      <c r="A14" s="225"/>
      <c r="B14"/>
      <c r="C14" s="275">
        <v>12</v>
      </c>
      <c r="D14" s="282">
        <f t="shared" si="0"/>
        <v>0</v>
      </c>
      <c r="E14" s="210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5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95">
        <f t="shared" si="1"/>
      </c>
    </row>
    <row r="15" spans="1:86" s="93" customFormat="1" ht="11.25" customHeight="1">
      <c r="A15" s="225"/>
      <c r="B15"/>
      <c r="C15" s="275">
        <v>13</v>
      </c>
      <c r="D15" s="282">
        <f t="shared" si="0"/>
        <v>0</v>
      </c>
      <c r="E15" s="210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5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95">
        <f t="shared" si="1"/>
      </c>
    </row>
    <row r="16" spans="1:86" s="93" customFormat="1" ht="11.25" customHeight="1">
      <c r="A16" s="225"/>
      <c r="B16"/>
      <c r="C16" s="275">
        <v>14</v>
      </c>
      <c r="D16" s="282">
        <f t="shared" si="0"/>
        <v>0</v>
      </c>
      <c r="E16" s="210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5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95">
        <f t="shared" si="1"/>
      </c>
    </row>
    <row r="17" spans="1:86" s="93" customFormat="1" ht="11.25" customHeight="1">
      <c r="A17" s="225"/>
      <c r="B17"/>
      <c r="C17" s="275">
        <v>15</v>
      </c>
      <c r="D17" s="282">
        <f t="shared" si="0"/>
        <v>0</v>
      </c>
      <c r="E17" s="210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5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95">
        <f t="shared" si="1"/>
      </c>
    </row>
    <row r="18" spans="1:86" s="93" customFormat="1" ht="11.25" customHeight="1">
      <c r="A18" s="225"/>
      <c r="B18"/>
      <c r="C18" s="275">
        <v>16</v>
      </c>
      <c r="D18" s="282">
        <f t="shared" si="0"/>
        <v>0</v>
      </c>
      <c r="E18" s="210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5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95">
        <f t="shared" si="1"/>
      </c>
    </row>
    <row r="19" spans="1:86" s="93" customFormat="1" ht="11.25" customHeight="1">
      <c r="A19" s="225"/>
      <c r="B19"/>
      <c r="C19" s="275">
        <v>17</v>
      </c>
      <c r="D19" s="282">
        <f t="shared" si="0"/>
        <v>0</v>
      </c>
      <c r="E19" s="210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5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95">
        <f t="shared" si="1"/>
      </c>
    </row>
    <row r="20" spans="1:86" s="93" customFormat="1" ht="11.25" customHeight="1">
      <c r="A20" s="225"/>
      <c r="B20"/>
      <c r="C20" s="275">
        <v>18</v>
      </c>
      <c r="D20" s="282">
        <f t="shared" si="0"/>
        <v>0</v>
      </c>
      <c r="E20" s="210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5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95">
        <f t="shared" si="1"/>
      </c>
    </row>
    <row r="21" spans="1:86" s="93" customFormat="1" ht="11.25" customHeight="1">
      <c r="A21" s="225"/>
      <c r="B21"/>
      <c r="C21" s="275">
        <v>19</v>
      </c>
      <c r="D21" s="282">
        <f t="shared" si="0"/>
        <v>0</v>
      </c>
      <c r="E21" s="210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5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95">
        <f t="shared" si="1"/>
      </c>
    </row>
    <row r="22" spans="1:86" s="93" customFormat="1" ht="11.25" customHeight="1">
      <c r="A22" s="225"/>
      <c r="B22"/>
      <c r="C22" s="275">
        <v>20</v>
      </c>
      <c r="D22" s="282">
        <f t="shared" si="0"/>
        <v>0</v>
      </c>
      <c r="E22" s="210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5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95">
        <f t="shared" si="1"/>
      </c>
    </row>
    <row r="23" spans="1:86" s="93" customFormat="1" ht="11.25" customHeight="1">
      <c r="A23" s="225"/>
      <c r="B23"/>
      <c r="C23" s="275">
        <v>21</v>
      </c>
      <c r="D23" s="282">
        <f t="shared" si="0"/>
        <v>0</v>
      </c>
      <c r="E23" s="210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5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95">
        <f t="shared" si="1"/>
      </c>
    </row>
    <row r="24" spans="1:86" s="93" customFormat="1" ht="11.25" customHeight="1">
      <c r="A24" s="225"/>
      <c r="B24"/>
      <c r="C24" s="275">
        <v>22</v>
      </c>
      <c r="D24" s="282">
        <f t="shared" si="0"/>
        <v>0</v>
      </c>
      <c r="E24" s="210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5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95">
        <f t="shared" si="1"/>
      </c>
    </row>
    <row r="25" spans="1:86" s="93" customFormat="1" ht="11.25" customHeight="1">
      <c r="A25" s="225"/>
      <c r="B25"/>
      <c r="C25" s="275">
        <v>23</v>
      </c>
      <c r="D25" s="282">
        <f t="shared" si="0"/>
        <v>0</v>
      </c>
      <c r="E25" s="210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5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95">
        <f t="shared" si="1"/>
      </c>
    </row>
    <row r="26" spans="1:86" s="93" customFormat="1" ht="11.25" customHeight="1">
      <c r="A26" s="225"/>
      <c r="B26"/>
      <c r="C26" s="275">
        <v>24</v>
      </c>
      <c r="D26" s="282">
        <f t="shared" si="0"/>
        <v>0</v>
      </c>
      <c r="E26" s="210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5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95">
        <f t="shared" si="1"/>
      </c>
    </row>
    <row r="27" spans="1:86" s="93" customFormat="1" ht="11.25" customHeight="1">
      <c r="A27" s="225"/>
      <c r="B27"/>
      <c r="C27" s="275">
        <v>25</v>
      </c>
      <c r="D27" s="282">
        <f t="shared" si="0"/>
        <v>0</v>
      </c>
      <c r="E27" s="210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5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95">
        <f t="shared" si="1"/>
      </c>
    </row>
    <row r="28" spans="1:86" s="93" customFormat="1" ht="11.25" customHeight="1">
      <c r="A28" s="225"/>
      <c r="B28"/>
      <c r="C28" s="275">
        <v>26</v>
      </c>
      <c r="D28" s="282">
        <f t="shared" si="0"/>
        <v>0</v>
      </c>
      <c r="E28" s="210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5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95">
        <f t="shared" si="1"/>
      </c>
    </row>
    <row r="29" spans="1:86" s="93" customFormat="1" ht="11.25" customHeight="1">
      <c r="A29" s="225"/>
      <c r="B29"/>
      <c r="C29" s="275">
        <v>27</v>
      </c>
      <c r="D29" s="282">
        <f t="shared" si="0"/>
        <v>0</v>
      </c>
      <c r="E29" s="210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5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95">
        <f t="shared" si="1"/>
      </c>
    </row>
    <row r="30" spans="1:86" s="93" customFormat="1" ht="11.25" customHeight="1">
      <c r="A30" s="225"/>
      <c r="B30"/>
      <c r="C30" s="275">
        <v>28</v>
      </c>
      <c r="D30" s="282">
        <f t="shared" si="0"/>
        <v>0</v>
      </c>
      <c r="E30" s="210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5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95">
        <f t="shared" si="1"/>
      </c>
    </row>
    <row r="31" spans="1:86" s="93" customFormat="1" ht="11.25" customHeight="1">
      <c r="A31" s="225"/>
      <c r="B31"/>
      <c r="C31" s="275">
        <v>29</v>
      </c>
      <c r="D31" s="282">
        <f t="shared" si="0"/>
        <v>0</v>
      </c>
      <c r="E31" s="210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5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95">
        <f t="shared" si="1"/>
      </c>
    </row>
    <row r="32" spans="1:86" s="93" customFormat="1" ht="11.25" customHeight="1">
      <c r="A32" s="225"/>
      <c r="B32"/>
      <c r="C32" s="275">
        <v>30</v>
      </c>
      <c r="D32" s="282">
        <f t="shared" si="0"/>
        <v>0</v>
      </c>
      <c r="E32" s="210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5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95">
        <f t="shared" si="1"/>
      </c>
    </row>
    <row r="33" spans="1:86" s="93" customFormat="1" ht="11.25" customHeight="1">
      <c r="A33" s="225"/>
      <c r="B33"/>
      <c r="C33" s="275">
        <v>31</v>
      </c>
      <c r="D33" s="282">
        <f t="shared" si="0"/>
        <v>0</v>
      </c>
      <c r="E33" s="210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5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95">
        <f t="shared" si="1"/>
      </c>
    </row>
    <row r="34" spans="1:86" s="93" customFormat="1" ht="11.25" customHeight="1">
      <c r="A34" s="225"/>
      <c r="B34"/>
      <c r="C34" s="275">
        <v>32</v>
      </c>
      <c r="D34" s="282">
        <f t="shared" si="0"/>
        <v>0</v>
      </c>
      <c r="E34" s="210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5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95">
        <f t="shared" si="1"/>
      </c>
    </row>
    <row r="35" spans="1:86" s="93" customFormat="1" ht="11.25" customHeight="1">
      <c r="A35" s="225"/>
      <c r="B35"/>
      <c r="C35" s="275">
        <v>33</v>
      </c>
      <c r="D35" s="282">
        <f t="shared" si="0"/>
        <v>0</v>
      </c>
      <c r="E35" s="210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5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95">
        <f t="shared" si="1"/>
      </c>
    </row>
    <row r="36" spans="1:86" s="93" customFormat="1" ht="11.25" customHeight="1">
      <c r="A36" s="226"/>
      <c r="B36" s="276"/>
      <c r="C36" s="275">
        <v>34</v>
      </c>
      <c r="D36" s="282">
        <f t="shared" si="0"/>
        <v>0</v>
      </c>
      <c r="E36" s="210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5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95">
        <f t="shared" si="1"/>
      </c>
    </row>
    <row r="37" spans="3:86" s="93" customFormat="1" ht="5.25" customHeight="1">
      <c r="C37" s="227"/>
      <c r="D37" s="283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7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235"/>
    </row>
    <row r="38" spans="2:86" s="26" customFormat="1" ht="11.25" customHeight="1">
      <c r="B38" s="31"/>
      <c r="C38" s="228" t="s">
        <v>2</v>
      </c>
      <c r="D38" s="228">
        <f>SUM(D3:D36)</f>
        <v>0</v>
      </c>
      <c r="E38" s="203">
        <f>IF($A$1="Encodage",COUNTA(E3:E36)-COUNTIF(E3:E36,"a"),COUNTA($C$3:$C$36)-COUNTIF(E3:E36,"a"))</f>
        <v>0</v>
      </c>
      <c r="F38" s="32">
        <f aca="true" t="shared" si="2" ref="F38:BL38">IF($A$1="Encodage",COUNTA(F3:F36)-COUNTIF(F3:F36,"a"),COUNTA($C$3:$C$36)-COUNTIF(F3:F36,"a"))</f>
        <v>0</v>
      </c>
      <c r="G38" s="32">
        <f t="shared" si="2"/>
        <v>0</v>
      </c>
      <c r="H38" s="32">
        <f t="shared" si="2"/>
        <v>0</v>
      </c>
      <c r="I38" s="32">
        <f t="shared" si="2"/>
        <v>0</v>
      </c>
      <c r="J38" s="32">
        <f t="shared" si="2"/>
        <v>0</v>
      </c>
      <c r="K38" s="32">
        <f t="shared" si="2"/>
        <v>0</v>
      </c>
      <c r="L38" s="32">
        <f t="shared" si="2"/>
        <v>0</v>
      </c>
      <c r="M38" s="32">
        <f t="shared" si="2"/>
        <v>0</v>
      </c>
      <c r="N38" s="32">
        <f t="shared" si="2"/>
        <v>0</v>
      </c>
      <c r="O38" s="32">
        <f t="shared" si="2"/>
        <v>0</v>
      </c>
      <c r="P38" s="32">
        <f t="shared" si="2"/>
        <v>0</v>
      </c>
      <c r="Q38" s="32">
        <f t="shared" si="2"/>
        <v>0</v>
      </c>
      <c r="R38" s="32">
        <f t="shared" si="2"/>
        <v>0</v>
      </c>
      <c r="S38" s="32">
        <f t="shared" si="2"/>
        <v>0</v>
      </c>
      <c r="T38" s="32">
        <f t="shared" si="2"/>
        <v>0</v>
      </c>
      <c r="U38" s="32">
        <f t="shared" si="2"/>
        <v>0</v>
      </c>
      <c r="V38" s="32">
        <f t="shared" si="2"/>
        <v>0</v>
      </c>
      <c r="W38" s="32">
        <f t="shared" si="2"/>
        <v>0</v>
      </c>
      <c r="X38" s="32">
        <f t="shared" si="2"/>
        <v>0</v>
      </c>
      <c r="Y38" s="32">
        <f t="shared" si="2"/>
        <v>0</v>
      </c>
      <c r="Z38" s="32">
        <f t="shared" si="2"/>
        <v>0</v>
      </c>
      <c r="AA38" s="32">
        <f t="shared" si="2"/>
        <v>0</v>
      </c>
      <c r="AB38" s="32">
        <f t="shared" si="2"/>
        <v>0</v>
      </c>
      <c r="AC38" s="32">
        <f t="shared" si="2"/>
        <v>0</v>
      </c>
      <c r="AD38" s="32">
        <f t="shared" si="2"/>
        <v>0</v>
      </c>
      <c r="AE38" s="32">
        <f t="shared" si="2"/>
        <v>0</v>
      </c>
      <c r="AF38" s="32">
        <f t="shared" si="2"/>
        <v>0</v>
      </c>
      <c r="AG38" s="32">
        <f t="shared" si="2"/>
        <v>0</v>
      </c>
      <c r="AH38" s="32">
        <f t="shared" si="2"/>
        <v>0</v>
      </c>
      <c r="AI38" s="32">
        <f t="shared" si="2"/>
        <v>0</v>
      </c>
      <c r="AJ38" s="32">
        <f t="shared" si="2"/>
        <v>0</v>
      </c>
      <c r="AK38" s="32">
        <f t="shared" si="2"/>
        <v>0</v>
      </c>
      <c r="AL38" s="32">
        <f t="shared" si="2"/>
        <v>0</v>
      </c>
      <c r="AM38" s="32">
        <f t="shared" si="2"/>
        <v>0</v>
      </c>
      <c r="AN38" s="32">
        <f t="shared" si="2"/>
        <v>0</v>
      </c>
      <c r="AO38" s="32">
        <f t="shared" si="2"/>
        <v>0</v>
      </c>
      <c r="AP38" s="32">
        <f t="shared" si="2"/>
        <v>0</v>
      </c>
      <c r="AQ38" s="32">
        <f t="shared" si="2"/>
        <v>0</v>
      </c>
      <c r="AR38" s="32">
        <f t="shared" si="2"/>
        <v>0</v>
      </c>
      <c r="AS38" s="32">
        <f t="shared" si="2"/>
        <v>0</v>
      </c>
      <c r="AT38" s="32">
        <f t="shared" si="2"/>
        <v>0</v>
      </c>
      <c r="AU38" s="32">
        <f t="shared" si="2"/>
        <v>0</v>
      </c>
      <c r="AV38" s="32">
        <f t="shared" si="2"/>
        <v>0</v>
      </c>
      <c r="AW38" s="32">
        <f t="shared" si="2"/>
        <v>0</v>
      </c>
      <c r="AX38" s="32">
        <f t="shared" si="2"/>
        <v>0</v>
      </c>
      <c r="AY38" s="32">
        <f t="shared" si="2"/>
        <v>0</v>
      </c>
      <c r="AZ38" s="32">
        <f t="shared" si="2"/>
        <v>0</v>
      </c>
      <c r="BA38" s="32">
        <f t="shared" si="2"/>
        <v>0</v>
      </c>
      <c r="BB38" s="32">
        <f t="shared" si="2"/>
        <v>0</v>
      </c>
      <c r="BC38" s="32">
        <f t="shared" si="2"/>
        <v>0</v>
      </c>
      <c r="BD38" s="32">
        <f t="shared" si="2"/>
        <v>0</v>
      </c>
      <c r="BE38" s="32">
        <f t="shared" si="2"/>
        <v>0</v>
      </c>
      <c r="BF38" s="32">
        <f t="shared" si="2"/>
        <v>0</v>
      </c>
      <c r="BG38" s="32">
        <f t="shared" si="2"/>
        <v>0</v>
      </c>
      <c r="BH38" s="32">
        <f t="shared" si="2"/>
        <v>0</v>
      </c>
      <c r="BI38" s="32">
        <f t="shared" si="2"/>
        <v>0</v>
      </c>
      <c r="BJ38" s="32">
        <f t="shared" si="2"/>
        <v>0</v>
      </c>
      <c r="BK38" s="32">
        <f t="shared" si="2"/>
        <v>0</v>
      </c>
      <c r="BL38" s="32">
        <f t="shared" si="2"/>
        <v>0</v>
      </c>
      <c r="BM38" s="32">
        <f aca="true" t="shared" si="3" ref="BM38:CG38">IF($A$1="Encodage",COUNTA(BM3:BM36)-COUNTIF(BM3:BM36,"a"),COUNTA($C$3:$C$36)-COUNTIF(BM3:BM36,"a"))</f>
        <v>0</v>
      </c>
      <c r="BN38" s="32">
        <f t="shared" si="3"/>
        <v>0</v>
      </c>
      <c r="BO38" s="32">
        <f t="shared" si="3"/>
        <v>0</v>
      </c>
      <c r="BP38" s="32">
        <f t="shared" si="3"/>
        <v>0</v>
      </c>
      <c r="BQ38" s="32">
        <f t="shared" si="3"/>
        <v>0</v>
      </c>
      <c r="BR38" s="32">
        <f t="shared" si="3"/>
        <v>0</v>
      </c>
      <c r="BS38" s="32">
        <f t="shared" si="3"/>
        <v>0</v>
      </c>
      <c r="BT38" s="32">
        <f t="shared" si="3"/>
        <v>0</v>
      </c>
      <c r="BU38" s="32">
        <f t="shared" si="3"/>
        <v>0</v>
      </c>
      <c r="BV38" s="32">
        <f t="shared" si="3"/>
        <v>0</v>
      </c>
      <c r="BW38" s="32">
        <f t="shared" si="3"/>
        <v>0</v>
      </c>
      <c r="BX38" s="32">
        <f t="shared" si="3"/>
        <v>0</v>
      </c>
      <c r="BY38" s="32">
        <f t="shared" si="3"/>
        <v>0</v>
      </c>
      <c r="BZ38" s="32">
        <f t="shared" si="3"/>
        <v>0</v>
      </c>
      <c r="CA38" s="32">
        <f t="shared" si="3"/>
        <v>0</v>
      </c>
      <c r="CB38" s="32">
        <f t="shared" si="3"/>
        <v>0</v>
      </c>
      <c r="CC38" s="32">
        <f t="shared" si="3"/>
        <v>0</v>
      </c>
      <c r="CD38" s="32">
        <f t="shared" si="3"/>
        <v>0</v>
      </c>
      <c r="CE38" s="32">
        <f t="shared" si="3"/>
        <v>0</v>
      </c>
      <c r="CF38" s="32">
        <f t="shared" si="3"/>
        <v>0</v>
      </c>
      <c r="CG38" s="32">
        <f t="shared" si="3"/>
        <v>0</v>
      </c>
      <c r="CH38" s="233"/>
    </row>
    <row r="39" spans="3:86" s="26" customFormat="1" ht="11.25" customHeight="1">
      <c r="C39" s="228" t="s">
        <v>13</v>
      </c>
      <c r="D39" s="228"/>
      <c r="E39" s="204">
        <f>IF($A$1="Encodage",COUNTIF(E3:E36,1),COUNTA($C$3:$C$36)-COUNTA(E3:E36))</f>
        <v>0</v>
      </c>
      <c r="F39" s="33">
        <f aca="true" t="shared" si="4" ref="F39:BL39">IF($A$1="Encodage",COUNTIF(F3:F36,1),COUNTA($C$3:$C$36)-COUNTA(F3:F36))</f>
        <v>0</v>
      </c>
      <c r="G39" s="33">
        <f t="shared" si="4"/>
        <v>0</v>
      </c>
      <c r="H39" s="33">
        <f t="shared" si="4"/>
        <v>0</v>
      </c>
      <c r="I39" s="33">
        <f t="shared" si="4"/>
        <v>0</v>
      </c>
      <c r="J39" s="33">
        <f t="shared" si="4"/>
        <v>0</v>
      </c>
      <c r="K39" s="33">
        <f t="shared" si="4"/>
        <v>0</v>
      </c>
      <c r="L39" s="33">
        <f t="shared" si="4"/>
        <v>0</v>
      </c>
      <c r="M39" s="33">
        <f t="shared" si="4"/>
        <v>0</v>
      </c>
      <c r="N39" s="33">
        <f t="shared" si="4"/>
        <v>0</v>
      </c>
      <c r="O39" s="33">
        <f t="shared" si="4"/>
        <v>0</v>
      </c>
      <c r="P39" s="33">
        <f t="shared" si="4"/>
        <v>0</v>
      </c>
      <c r="Q39" s="33">
        <f t="shared" si="4"/>
        <v>0</v>
      </c>
      <c r="R39" s="33">
        <f t="shared" si="4"/>
        <v>0</v>
      </c>
      <c r="S39" s="33">
        <f t="shared" si="4"/>
        <v>0</v>
      </c>
      <c r="T39" s="33">
        <f t="shared" si="4"/>
        <v>0</v>
      </c>
      <c r="U39" s="33">
        <f t="shared" si="4"/>
        <v>0</v>
      </c>
      <c r="V39" s="33">
        <f t="shared" si="4"/>
        <v>0</v>
      </c>
      <c r="W39" s="33">
        <f t="shared" si="4"/>
        <v>0</v>
      </c>
      <c r="X39" s="33">
        <f t="shared" si="4"/>
        <v>0</v>
      </c>
      <c r="Y39" s="33">
        <f t="shared" si="4"/>
        <v>0</v>
      </c>
      <c r="Z39" s="33">
        <f t="shared" si="4"/>
        <v>0</v>
      </c>
      <c r="AA39" s="33">
        <f t="shared" si="4"/>
        <v>0</v>
      </c>
      <c r="AB39" s="33">
        <f t="shared" si="4"/>
        <v>0</v>
      </c>
      <c r="AC39" s="33">
        <f t="shared" si="4"/>
        <v>0</v>
      </c>
      <c r="AD39" s="33">
        <f t="shared" si="4"/>
        <v>0</v>
      </c>
      <c r="AE39" s="33">
        <f t="shared" si="4"/>
        <v>0</v>
      </c>
      <c r="AF39" s="33">
        <f t="shared" si="4"/>
        <v>0</v>
      </c>
      <c r="AG39" s="33">
        <f t="shared" si="4"/>
        <v>0</v>
      </c>
      <c r="AH39" s="33">
        <f t="shared" si="4"/>
        <v>0</v>
      </c>
      <c r="AI39" s="33">
        <f t="shared" si="4"/>
        <v>0</v>
      </c>
      <c r="AJ39" s="33">
        <f t="shared" si="4"/>
        <v>0</v>
      </c>
      <c r="AK39" s="33">
        <f t="shared" si="4"/>
        <v>0</v>
      </c>
      <c r="AL39" s="33">
        <f t="shared" si="4"/>
        <v>0</v>
      </c>
      <c r="AM39" s="33">
        <f t="shared" si="4"/>
        <v>0</v>
      </c>
      <c r="AN39" s="33">
        <f t="shared" si="4"/>
        <v>0</v>
      </c>
      <c r="AO39" s="33">
        <f t="shared" si="4"/>
        <v>0</v>
      </c>
      <c r="AP39" s="33">
        <f t="shared" si="4"/>
        <v>0</v>
      </c>
      <c r="AQ39" s="33">
        <f t="shared" si="4"/>
        <v>0</v>
      </c>
      <c r="AR39" s="33">
        <f t="shared" si="4"/>
        <v>0</v>
      </c>
      <c r="AS39" s="33">
        <f t="shared" si="4"/>
        <v>0</v>
      </c>
      <c r="AT39" s="33">
        <f t="shared" si="4"/>
        <v>0</v>
      </c>
      <c r="AU39" s="33">
        <f t="shared" si="4"/>
        <v>0</v>
      </c>
      <c r="AV39" s="33">
        <f t="shared" si="4"/>
        <v>0</v>
      </c>
      <c r="AW39" s="33">
        <f t="shared" si="4"/>
        <v>0</v>
      </c>
      <c r="AX39" s="33">
        <f t="shared" si="4"/>
        <v>0</v>
      </c>
      <c r="AY39" s="33">
        <f t="shared" si="4"/>
        <v>0</v>
      </c>
      <c r="AZ39" s="33">
        <f t="shared" si="4"/>
        <v>0</v>
      </c>
      <c r="BA39" s="33">
        <f t="shared" si="4"/>
        <v>0</v>
      </c>
      <c r="BB39" s="33">
        <f t="shared" si="4"/>
        <v>0</v>
      </c>
      <c r="BC39" s="33">
        <f t="shared" si="4"/>
        <v>0</v>
      </c>
      <c r="BD39" s="33">
        <f t="shared" si="4"/>
        <v>0</v>
      </c>
      <c r="BE39" s="33">
        <f t="shared" si="4"/>
        <v>0</v>
      </c>
      <c r="BF39" s="33">
        <f t="shared" si="4"/>
        <v>0</v>
      </c>
      <c r="BG39" s="33">
        <f t="shared" si="4"/>
        <v>0</v>
      </c>
      <c r="BH39" s="33">
        <f t="shared" si="4"/>
        <v>0</v>
      </c>
      <c r="BI39" s="33">
        <f t="shared" si="4"/>
        <v>0</v>
      </c>
      <c r="BJ39" s="33">
        <f t="shared" si="4"/>
        <v>0</v>
      </c>
      <c r="BK39" s="33">
        <f t="shared" si="4"/>
        <v>0</v>
      </c>
      <c r="BL39" s="33">
        <f t="shared" si="4"/>
        <v>0</v>
      </c>
      <c r="BM39" s="33">
        <f aca="true" t="shared" si="5" ref="BM39:CG39">IF($A$1="Encodage",COUNTIF(BM3:BM36,1),COUNTA($C$3:$C$36)-COUNTA(BM3:BM36))</f>
        <v>0</v>
      </c>
      <c r="BN39" s="33">
        <f t="shared" si="5"/>
        <v>0</v>
      </c>
      <c r="BO39" s="33">
        <f t="shared" si="5"/>
        <v>0</v>
      </c>
      <c r="BP39" s="33">
        <f t="shared" si="5"/>
        <v>0</v>
      </c>
      <c r="BQ39" s="33">
        <f t="shared" si="5"/>
        <v>0</v>
      </c>
      <c r="BR39" s="33">
        <f t="shared" si="5"/>
        <v>0</v>
      </c>
      <c r="BS39" s="33">
        <f t="shared" si="5"/>
        <v>0</v>
      </c>
      <c r="BT39" s="33">
        <f t="shared" si="5"/>
        <v>0</v>
      </c>
      <c r="BU39" s="33">
        <f t="shared" si="5"/>
        <v>0</v>
      </c>
      <c r="BV39" s="33">
        <f t="shared" si="5"/>
        <v>0</v>
      </c>
      <c r="BW39" s="33">
        <f t="shared" si="5"/>
        <v>0</v>
      </c>
      <c r="BX39" s="33">
        <f t="shared" si="5"/>
        <v>0</v>
      </c>
      <c r="BY39" s="33">
        <f t="shared" si="5"/>
        <v>0</v>
      </c>
      <c r="BZ39" s="33">
        <f t="shared" si="5"/>
        <v>0</v>
      </c>
      <c r="CA39" s="33">
        <f t="shared" si="5"/>
        <v>0</v>
      </c>
      <c r="CB39" s="33">
        <f t="shared" si="5"/>
        <v>0</v>
      </c>
      <c r="CC39" s="33">
        <f t="shared" si="5"/>
        <v>0</v>
      </c>
      <c r="CD39" s="33">
        <f t="shared" si="5"/>
        <v>0</v>
      </c>
      <c r="CE39" s="33">
        <f t="shared" si="5"/>
        <v>0</v>
      </c>
      <c r="CF39" s="33">
        <f t="shared" si="5"/>
        <v>0</v>
      </c>
      <c r="CG39" s="33">
        <f t="shared" si="5"/>
        <v>0</v>
      </c>
      <c r="CH39" s="234"/>
    </row>
    <row r="40" spans="3:86" s="26" customFormat="1" ht="11.25" customHeight="1">
      <c r="C40" s="228" t="s">
        <v>57</v>
      </c>
      <c r="D40" s="228"/>
      <c r="E40" s="205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33">
        <f>IF($A$1="Encodage",COUNTIF(AB4:AB37,8),COUNTA($C$3:$C$36)-COUNTA(AB4:AB37))</f>
        <v>0</v>
      </c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/>
      <c r="BL40" s="152"/>
      <c r="BM40" s="152"/>
      <c r="BN40" s="152"/>
      <c r="BO40" s="152"/>
      <c r="BP40" s="152"/>
      <c r="BQ40" s="152"/>
      <c r="BR40" s="152"/>
      <c r="BS40" s="152"/>
      <c r="BT40" s="152"/>
      <c r="BU40" s="152"/>
      <c r="BV40" s="152"/>
      <c r="BW40" s="152"/>
      <c r="BX40" s="33">
        <f>IF($A$1="Encodage",COUNTIF(BX3:BX36,8),COUNTA($C$3:$C$36)-COUNTA(BX3:BX36))</f>
        <v>0</v>
      </c>
      <c r="BY40" s="152"/>
      <c r="BZ40" s="152"/>
      <c r="CA40" s="152"/>
      <c r="CB40" s="152"/>
      <c r="CC40" s="152"/>
      <c r="CD40" s="152"/>
      <c r="CE40" s="152"/>
      <c r="CF40" s="152"/>
      <c r="CG40" s="152"/>
      <c r="CH40" s="234"/>
    </row>
    <row r="41" spans="1:86" s="34" customFormat="1" ht="11.25" customHeight="1">
      <c r="A41" s="26"/>
      <c r="B41" s="26"/>
      <c r="C41" s="228" t="s">
        <v>33</v>
      </c>
      <c r="D41" s="228"/>
      <c r="E41" s="204">
        <f>IF($A$1="Encodage",COUNTIF(E3:E36,0),COUNTA($C$3:$C$36)-COUNTA(E3:E36))</f>
        <v>0</v>
      </c>
      <c r="F41" s="33">
        <f aca="true" t="shared" si="6" ref="F41:BL41">IF($A$1="Encodage",COUNTIF(F3:F36,0),COUNTA($C$3:$C$36)-COUNTA(F3:F36))</f>
        <v>0</v>
      </c>
      <c r="G41" s="33">
        <f t="shared" si="6"/>
        <v>0</v>
      </c>
      <c r="H41" s="33">
        <f t="shared" si="6"/>
        <v>0</v>
      </c>
      <c r="I41" s="33">
        <f t="shared" si="6"/>
        <v>0</v>
      </c>
      <c r="J41" s="33">
        <f t="shared" si="6"/>
        <v>0</v>
      </c>
      <c r="K41" s="33">
        <f t="shared" si="6"/>
        <v>0</v>
      </c>
      <c r="L41" s="33">
        <f t="shared" si="6"/>
        <v>0</v>
      </c>
      <c r="M41" s="33">
        <f t="shared" si="6"/>
        <v>0</v>
      </c>
      <c r="N41" s="33">
        <f t="shared" si="6"/>
        <v>0</v>
      </c>
      <c r="O41" s="33">
        <f t="shared" si="6"/>
        <v>0</v>
      </c>
      <c r="P41" s="33">
        <f t="shared" si="6"/>
        <v>0</v>
      </c>
      <c r="Q41" s="33">
        <f t="shared" si="6"/>
        <v>0</v>
      </c>
      <c r="R41" s="33">
        <f t="shared" si="6"/>
        <v>0</v>
      </c>
      <c r="S41" s="33">
        <f t="shared" si="6"/>
        <v>0</v>
      </c>
      <c r="T41" s="33">
        <f t="shared" si="6"/>
        <v>0</v>
      </c>
      <c r="U41" s="33">
        <f t="shared" si="6"/>
        <v>0</v>
      </c>
      <c r="V41" s="33">
        <f t="shared" si="6"/>
        <v>0</v>
      </c>
      <c r="W41" s="33">
        <f t="shared" si="6"/>
        <v>0</v>
      </c>
      <c r="X41" s="33">
        <f t="shared" si="6"/>
        <v>0</v>
      </c>
      <c r="Y41" s="33">
        <f t="shared" si="6"/>
        <v>0</v>
      </c>
      <c r="Z41" s="33">
        <f t="shared" si="6"/>
        <v>0</v>
      </c>
      <c r="AA41" s="33">
        <f t="shared" si="6"/>
        <v>0</v>
      </c>
      <c r="AB41" s="33">
        <f t="shared" si="6"/>
        <v>0</v>
      </c>
      <c r="AC41" s="33">
        <f t="shared" si="6"/>
        <v>0</v>
      </c>
      <c r="AD41" s="33">
        <f t="shared" si="6"/>
        <v>0</v>
      </c>
      <c r="AE41" s="33">
        <f t="shared" si="6"/>
        <v>0</v>
      </c>
      <c r="AF41" s="33">
        <f t="shared" si="6"/>
        <v>0</v>
      </c>
      <c r="AG41" s="33">
        <f t="shared" si="6"/>
        <v>0</v>
      </c>
      <c r="AH41" s="33">
        <f t="shared" si="6"/>
        <v>0</v>
      </c>
      <c r="AI41" s="33">
        <f t="shared" si="6"/>
        <v>0</v>
      </c>
      <c r="AJ41" s="33">
        <f t="shared" si="6"/>
        <v>0</v>
      </c>
      <c r="AK41" s="33">
        <f t="shared" si="6"/>
        <v>0</v>
      </c>
      <c r="AL41" s="33">
        <f t="shared" si="6"/>
        <v>0</v>
      </c>
      <c r="AM41" s="33">
        <f t="shared" si="6"/>
        <v>0</v>
      </c>
      <c r="AN41" s="33">
        <f t="shared" si="6"/>
        <v>0</v>
      </c>
      <c r="AO41" s="33">
        <f t="shared" si="6"/>
        <v>0</v>
      </c>
      <c r="AP41" s="33">
        <f t="shared" si="6"/>
        <v>0</v>
      </c>
      <c r="AQ41" s="33">
        <f t="shared" si="6"/>
        <v>0</v>
      </c>
      <c r="AR41" s="33">
        <f t="shared" si="6"/>
        <v>0</v>
      </c>
      <c r="AS41" s="33">
        <f t="shared" si="6"/>
        <v>0</v>
      </c>
      <c r="AT41" s="33">
        <f t="shared" si="6"/>
        <v>0</v>
      </c>
      <c r="AU41" s="33">
        <f t="shared" si="6"/>
        <v>0</v>
      </c>
      <c r="AV41" s="33">
        <f t="shared" si="6"/>
        <v>0</v>
      </c>
      <c r="AW41" s="33">
        <f t="shared" si="6"/>
        <v>0</v>
      </c>
      <c r="AX41" s="33">
        <f t="shared" si="6"/>
        <v>0</v>
      </c>
      <c r="AY41" s="33">
        <f t="shared" si="6"/>
        <v>0</v>
      </c>
      <c r="AZ41" s="33">
        <f t="shared" si="6"/>
        <v>0</v>
      </c>
      <c r="BA41" s="33">
        <f t="shared" si="6"/>
        <v>0</v>
      </c>
      <c r="BB41" s="33">
        <f t="shared" si="6"/>
        <v>0</v>
      </c>
      <c r="BC41" s="33">
        <f t="shared" si="6"/>
        <v>0</v>
      </c>
      <c r="BD41" s="33">
        <f t="shared" si="6"/>
        <v>0</v>
      </c>
      <c r="BE41" s="33">
        <f t="shared" si="6"/>
        <v>0</v>
      </c>
      <c r="BF41" s="33">
        <f t="shared" si="6"/>
        <v>0</v>
      </c>
      <c r="BG41" s="33">
        <f t="shared" si="6"/>
        <v>0</v>
      </c>
      <c r="BH41" s="33">
        <f t="shared" si="6"/>
        <v>0</v>
      </c>
      <c r="BI41" s="33">
        <f t="shared" si="6"/>
        <v>0</v>
      </c>
      <c r="BJ41" s="33">
        <f t="shared" si="6"/>
        <v>0</v>
      </c>
      <c r="BK41" s="33">
        <f t="shared" si="6"/>
        <v>0</v>
      </c>
      <c r="BL41" s="33">
        <f t="shared" si="6"/>
        <v>0</v>
      </c>
      <c r="BM41" s="33">
        <f aca="true" t="shared" si="7" ref="BM41:CG41">IF($A$1="Encodage",COUNTIF(BM3:BM36,0),COUNTA($C$3:$C$36)-COUNTA(BM3:BM36))</f>
        <v>0</v>
      </c>
      <c r="BN41" s="33">
        <f t="shared" si="7"/>
        <v>0</v>
      </c>
      <c r="BO41" s="33">
        <f t="shared" si="7"/>
        <v>0</v>
      </c>
      <c r="BP41" s="33">
        <f t="shared" si="7"/>
        <v>0</v>
      </c>
      <c r="BQ41" s="33">
        <f t="shared" si="7"/>
        <v>0</v>
      </c>
      <c r="BR41" s="33">
        <f t="shared" si="7"/>
        <v>0</v>
      </c>
      <c r="BS41" s="33">
        <f t="shared" si="7"/>
        <v>0</v>
      </c>
      <c r="BT41" s="33">
        <f t="shared" si="7"/>
        <v>0</v>
      </c>
      <c r="BU41" s="33">
        <f t="shared" si="7"/>
        <v>0</v>
      </c>
      <c r="BV41" s="33">
        <f t="shared" si="7"/>
        <v>0</v>
      </c>
      <c r="BW41" s="33">
        <f t="shared" si="7"/>
        <v>0</v>
      </c>
      <c r="BX41" s="33">
        <f t="shared" si="7"/>
        <v>0</v>
      </c>
      <c r="BY41" s="33">
        <f t="shared" si="7"/>
        <v>0</v>
      </c>
      <c r="BZ41" s="33">
        <f t="shared" si="7"/>
        <v>0</v>
      </c>
      <c r="CA41" s="33">
        <f t="shared" si="7"/>
        <v>0</v>
      </c>
      <c r="CB41" s="33">
        <f t="shared" si="7"/>
        <v>0</v>
      </c>
      <c r="CC41" s="33">
        <f t="shared" si="7"/>
        <v>0</v>
      </c>
      <c r="CD41" s="33">
        <f t="shared" si="7"/>
        <v>0</v>
      </c>
      <c r="CE41" s="33">
        <f t="shared" si="7"/>
        <v>0</v>
      </c>
      <c r="CF41" s="33">
        <f t="shared" si="7"/>
        <v>0</v>
      </c>
      <c r="CG41" s="33">
        <f t="shared" si="7"/>
        <v>0</v>
      </c>
      <c r="CH41" s="234"/>
    </row>
    <row r="42" spans="3:86" s="34" customFormat="1" ht="11.25" customHeight="1">
      <c r="C42" s="229" t="s">
        <v>63</v>
      </c>
      <c r="D42" s="229"/>
      <c r="E42" s="204">
        <f>IF($A$1="Encodage",COUNTIF(E3:E36,9),COUNTA($C$3:$C$36)-COUNTA(E3:E36))</f>
        <v>0</v>
      </c>
      <c r="F42" s="33">
        <f aca="true" t="shared" si="8" ref="F42:BL42">IF($A$1="Encodage",COUNTIF(F3:F36,9),COUNTA($C$3:$C$36)-COUNTA(F3:F36))</f>
        <v>0</v>
      </c>
      <c r="G42" s="33">
        <f t="shared" si="8"/>
        <v>0</v>
      </c>
      <c r="H42" s="33">
        <f t="shared" si="8"/>
        <v>0</v>
      </c>
      <c r="I42" s="33">
        <f t="shared" si="8"/>
        <v>0</v>
      </c>
      <c r="J42" s="33">
        <f t="shared" si="8"/>
        <v>0</v>
      </c>
      <c r="K42" s="33">
        <f t="shared" si="8"/>
        <v>0</v>
      </c>
      <c r="L42" s="33">
        <f t="shared" si="8"/>
        <v>0</v>
      </c>
      <c r="M42" s="33">
        <f t="shared" si="8"/>
        <v>0</v>
      </c>
      <c r="N42" s="33">
        <f t="shared" si="8"/>
        <v>0</v>
      </c>
      <c r="O42" s="33">
        <f t="shared" si="8"/>
        <v>0</v>
      </c>
      <c r="P42" s="33">
        <f t="shared" si="8"/>
        <v>0</v>
      </c>
      <c r="Q42" s="33">
        <f t="shared" si="8"/>
        <v>0</v>
      </c>
      <c r="R42" s="33">
        <f t="shared" si="8"/>
        <v>0</v>
      </c>
      <c r="S42" s="33">
        <f t="shared" si="8"/>
        <v>0</v>
      </c>
      <c r="T42" s="33">
        <f t="shared" si="8"/>
        <v>0</v>
      </c>
      <c r="U42" s="33">
        <f t="shared" si="8"/>
        <v>0</v>
      </c>
      <c r="V42" s="33">
        <f t="shared" si="8"/>
        <v>0</v>
      </c>
      <c r="W42" s="33">
        <f t="shared" si="8"/>
        <v>0</v>
      </c>
      <c r="X42" s="33">
        <f t="shared" si="8"/>
        <v>0</v>
      </c>
      <c r="Y42" s="33">
        <f t="shared" si="8"/>
        <v>0</v>
      </c>
      <c r="Z42" s="33">
        <f t="shared" si="8"/>
        <v>0</v>
      </c>
      <c r="AA42" s="33">
        <f t="shared" si="8"/>
        <v>0</v>
      </c>
      <c r="AB42" s="33">
        <f t="shared" si="8"/>
        <v>0</v>
      </c>
      <c r="AC42" s="33">
        <f t="shared" si="8"/>
        <v>0</v>
      </c>
      <c r="AD42" s="33">
        <f t="shared" si="8"/>
        <v>0</v>
      </c>
      <c r="AE42" s="33">
        <f t="shared" si="8"/>
        <v>0</v>
      </c>
      <c r="AF42" s="33">
        <f t="shared" si="8"/>
        <v>0</v>
      </c>
      <c r="AG42" s="33">
        <f t="shared" si="8"/>
        <v>0</v>
      </c>
      <c r="AH42" s="33">
        <f t="shared" si="8"/>
        <v>0</v>
      </c>
      <c r="AI42" s="33">
        <f t="shared" si="8"/>
        <v>0</v>
      </c>
      <c r="AJ42" s="33">
        <f t="shared" si="8"/>
        <v>0</v>
      </c>
      <c r="AK42" s="33">
        <f t="shared" si="8"/>
        <v>0</v>
      </c>
      <c r="AL42" s="33">
        <f t="shared" si="8"/>
        <v>0</v>
      </c>
      <c r="AM42" s="33">
        <f t="shared" si="8"/>
        <v>0</v>
      </c>
      <c r="AN42" s="33">
        <f t="shared" si="8"/>
        <v>0</v>
      </c>
      <c r="AO42" s="33">
        <f t="shared" si="8"/>
        <v>0</v>
      </c>
      <c r="AP42" s="33">
        <f t="shared" si="8"/>
        <v>0</v>
      </c>
      <c r="AQ42" s="33">
        <f t="shared" si="8"/>
        <v>0</v>
      </c>
      <c r="AR42" s="33">
        <f t="shared" si="8"/>
        <v>0</v>
      </c>
      <c r="AS42" s="33">
        <f t="shared" si="8"/>
        <v>0</v>
      </c>
      <c r="AT42" s="33">
        <f t="shared" si="8"/>
        <v>0</v>
      </c>
      <c r="AU42" s="33">
        <f t="shared" si="8"/>
        <v>0</v>
      </c>
      <c r="AV42" s="33">
        <f t="shared" si="8"/>
        <v>0</v>
      </c>
      <c r="AW42" s="33">
        <f t="shared" si="8"/>
        <v>0</v>
      </c>
      <c r="AX42" s="33">
        <f t="shared" si="8"/>
        <v>0</v>
      </c>
      <c r="AY42" s="33">
        <f t="shared" si="8"/>
        <v>0</v>
      </c>
      <c r="AZ42" s="33">
        <f t="shared" si="8"/>
        <v>0</v>
      </c>
      <c r="BA42" s="33">
        <f t="shared" si="8"/>
        <v>0</v>
      </c>
      <c r="BB42" s="33">
        <f t="shared" si="8"/>
        <v>0</v>
      </c>
      <c r="BC42" s="33">
        <f t="shared" si="8"/>
        <v>0</v>
      </c>
      <c r="BD42" s="33">
        <f t="shared" si="8"/>
        <v>0</v>
      </c>
      <c r="BE42" s="33">
        <f t="shared" si="8"/>
        <v>0</v>
      </c>
      <c r="BF42" s="33">
        <f t="shared" si="8"/>
        <v>0</v>
      </c>
      <c r="BG42" s="33">
        <f t="shared" si="8"/>
        <v>0</v>
      </c>
      <c r="BH42" s="33">
        <f t="shared" si="8"/>
        <v>0</v>
      </c>
      <c r="BI42" s="33">
        <f t="shared" si="8"/>
        <v>0</v>
      </c>
      <c r="BJ42" s="33">
        <f t="shared" si="8"/>
        <v>0</v>
      </c>
      <c r="BK42" s="33">
        <f t="shared" si="8"/>
        <v>0</v>
      </c>
      <c r="BL42" s="33">
        <f t="shared" si="8"/>
        <v>0</v>
      </c>
      <c r="BM42" s="33">
        <f aca="true" t="shared" si="9" ref="BM42:CG42">IF($A$1="Encodage",COUNTIF(BM3:BM36,9),COUNTA($C$3:$C$36)-COUNTA(BM3:BM36))</f>
        <v>0</v>
      </c>
      <c r="BN42" s="33">
        <f t="shared" si="9"/>
        <v>0</v>
      </c>
      <c r="BO42" s="33">
        <f t="shared" si="9"/>
        <v>0</v>
      </c>
      <c r="BP42" s="33">
        <f t="shared" si="9"/>
        <v>0</v>
      </c>
      <c r="BQ42" s="33">
        <f t="shared" si="9"/>
        <v>0</v>
      </c>
      <c r="BR42" s="33">
        <f t="shared" si="9"/>
        <v>0</v>
      </c>
      <c r="BS42" s="33">
        <f t="shared" si="9"/>
        <v>0</v>
      </c>
      <c r="BT42" s="33">
        <f t="shared" si="9"/>
        <v>0</v>
      </c>
      <c r="BU42" s="33">
        <f t="shared" si="9"/>
        <v>0</v>
      </c>
      <c r="BV42" s="33">
        <f t="shared" si="9"/>
        <v>0</v>
      </c>
      <c r="BW42" s="33">
        <f t="shared" si="9"/>
        <v>0</v>
      </c>
      <c r="BX42" s="33">
        <f t="shared" si="9"/>
        <v>0</v>
      </c>
      <c r="BY42" s="33">
        <f t="shared" si="9"/>
        <v>0</v>
      </c>
      <c r="BZ42" s="33">
        <f t="shared" si="9"/>
        <v>0</v>
      </c>
      <c r="CA42" s="33">
        <f t="shared" si="9"/>
        <v>0</v>
      </c>
      <c r="CB42" s="33">
        <f t="shared" si="9"/>
        <v>0</v>
      </c>
      <c r="CC42" s="33">
        <f t="shared" si="9"/>
        <v>0</v>
      </c>
      <c r="CD42" s="33">
        <f t="shared" si="9"/>
        <v>0</v>
      </c>
      <c r="CE42" s="33">
        <f t="shared" si="9"/>
        <v>0</v>
      </c>
      <c r="CF42" s="33">
        <f t="shared" si="9"/>
        <v>0</v>
      </c>
      <c r="CG42" s="33">
        <f t="shared" si="9"/>
        <v>0</v>
      </c>
      <c r="CH42" s="234"/>
    </row>
    <row r="43" spans="1:86" s="36" customFormat="1" ht="11.25" customHeight="1">
      <c r="A43" s="34"/>
      <c r="B43" s="34"/>
      <c r="C43" s="230"/>
      <c r="D43" s="51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115"/>
      <c r="AC43" s="116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234"/>
    </row>
    <row r="44" spans="3:86" s="36" customFormat="1" ht="11.25" customHeight="1">
      <c r="C44" s="231" t="s">
        <v>104</v>
      </c>
      <c r="D44" s="231"/>
      <c r="E44" s="39">
        <f>IF(E38=0,"",E39/E38)</f>
      </c>
      <c r="F44" s="39">
        <f aca="true" t="shared" si="10" ref="F44:BL44">IF(F38=0,"",F39/F38)</f>
      </c>
      <c r="G44" s="39">
        <f t="shared" si="10"/>
      </c>
      <c r="H44" s="39">
        <f t="shared" si="10"/>
      </c>
      <c r="I44" s="39">
        <f t="shared" si="10"/>
      </c>
      <c r="J44" s="39">
        <f t="shared" si="10"/>
      </c>
      <c r="K44" s="39">
        <f t="shared" si="10"/>
      </c>
      <c r="L44" s="39">
        <f t="shared" si="10"/>
      </c>
      <c r="M44" s="39">
        <f t="shared" si="10"/>
      </c>
      <c r="N44" s="39">
        <f t="shared" si="10"/>
      </c>
      <c r="O44" s="39">
        <f t="shared" si="10"/>
      </c>
      <c r="P44" s="39">
        <f t="shared" si="10"/>
      </c>
      <c r="Q44" s="39">
        <f t="shared" si="10"/>
      </c>
      <c r="R44" s="39">
        <f t="shared" si="10"/>
      </c>
      <c r="S44" s="39">
        <f t="shared" si="10"/>
      </c>
      <c r="T44" s="39">
        <f t="shared" si="10"/>
      </c>
      <c r="U44" s="39">
        <f t="shared" si="10"/>
      </c>
      <c r="V44" s="39">
        <f t="shared" si="10"/>
      </c>
      <c r="W44" s="39">
        <f t="shared" si="10"/>
      </c>
      <c r="X44" s="39">
        <f t="shared" si="10"/>
      </c>
      <c r="Y44" s="39">
        <f t="shared" si="10"/>
      </c>
      <c r="Z44" s="39">
        <f t="shared" si="10"/>
      </c>
      <c r="AA44" s="39">
        <f t="shared" si="10"/>
      </c>
      <c r="AB44" s="39">
        <f t="shared" si="10"/>
      </c>
      <c r="AC44" s="39">
        <f t="shared" si="10"/>
      </c>
      <c r="AD44" s="39">
        <f t="shared" si="10"/>
      </c>
      <c r="AE44" s="39">
        <f t="shared" si="10"/>
      </c>
      <c r="AF44" s="39">
        <f t="shared" si="10"/>
      </c>
      <c r="AG44" s="39">
        <f t="shared" si="10"/>
      </c>
      <c r="AH44" s="39">
        <f t="shared" si="10"/>
      </c>
      <c r="AI44" s="39">
        <f t="shared" si="10"/>
      </c>
      <c r="AJ44" s="39">
        <f t="shared" si="10"/>
      </c>
      <c r="AK44" s="39">
        <f t="shared" si="10"/>
      </c>
      <c r="AL44" s="39">
        <f t="shared" si="10"/>
      </c>
      <c r="AM44" s="39">
        <f t="shared" si="10"/>
      </c>
      <c r="AN44" s="39">
        <f t="shared" si="10"/>
      </c>
      <c r="AO44" s="39">
        <f t="shared" si="10"/>
      </c>
      <c r="AP44" s="39">
        <f t="shared" si="10"/>
      </c>
      <c r="AQ44" s="39">
        <f t="shared" si="10"/>
      </c>
      <c r="AR44" s="39">
        <f t="shared" si="10"/>
      </c>
      <c r="AS44" s="39">
        <f t="shared" si="10"/>
      </c>
      <c r="AT44" s="39">
        <f t="shared" si="10"/>
      </c>
      <c r="AU44" s="39">
        <f t="shared" si="10"/>
      </c>
      <c r="AV44" s="39">
        <f t="shared" si="10"/>
      </c>
      <c r="AW44" s="39">
        <f t="shared" si="10"/>
      </c>
      <c r="AX44" s="39">
        <f t="shared" si="10"/>
      </c>
      <c r="AY44" s="39">
        <f t="shared" si="10"/>
      </c>
      <c r="AZ44" s="39">
        <f t="shared" si="10"/>
      </c>
      <c r="BA44" s="39">
        <f t="shared" si="10"/>
      </c>
      <c r="BB44" s="39">
        <f t="shared" si="10"/>
      </c>
      <c r="BC44" s="39">
        <f t="shared" si="10"/>
      </c>
      <c r="BD44" s="39">
        <f t="shared" si="10"/>
      </c>
      <c r="BE44" s="39">
        <f t="shared" si="10"/>
      </c>
      <c r="BF44" s="39">
        <f t="shared" si="10"/>
      </c>
      <c r="BG44" s="39">
        <f t="shared" si="10"/>
      </c>
      <c r="BH44" s="39">
        <f t="shared" si="10"/>
      </c>
      <c r="BI44" s="39">
        <f t="shared" si="10"/>
      </c>
      <c r="BJ44" s="39">
        <f t="shared" si="10"/>
      </c>
      <c r="BK44" s="39">
        <f t="shared" si="10"/>
      </c>
      <c r="BL44" s="39">
        <f t="shared" si="10"/>
      </c>
      <c r="BM44" s="39">
        <f aca="true" t="shared" si="11" ref="BM44:CG44">IF(BM38=0,"",BM39/BM38)</f>
      </c>
      <c r="BN44" s="39">
        <f t="shared" si="11"/>
      </c>
      <c r="BO44" s="39">
        <f t="shared" si="11"/>
      </c>
      <c r="BP44" s="39">
        <f t="shared" si="11"/>
      </c>
      <c r="BQ44" s="39">
        <f t="shared" si="11"/>
      </c>
      <c r="BR44" s="39">
        <f t="shared" si="11"/>
      </c>
      <c r="BS44" s="39">
        <f t="shared" si="11"/>
      </c>
      <c r="BT44" s="39">
        <f t="shared" si="11"/>
      </c>
      <c r="BU44" s="286">
        <f t="shared" si="11"/>
      </c>
      <c r="BV44" s="39">
        <f t="shared" si="11"/>
      </c>
      <c r="BW44" s="39">
        <f t="shared" si="11"/>
      </c>
      <c r="BX44" s="39">
        <f t="shared" si="11"/>
      </c>
      <c r="BY44" s="39">
        <f t="shared" si="11"/>
      </c>
      <c r="BZ44" s="39">
        <f t="shared" si="11"/>
      </c>
      <c r="CA44" s="39">
        <f t="shared" si="11"/>
      </c>
      <c r="CB44" s="39">
        <f t="shared" si="11"/>
      </c>
      <c r="CC44" s="39">
        <f t="shared" si="11"/>
      </c>
      <c r="CD44" s="39">
        <f t="shared" si="11"/>
      </c>
      <c r="CE44" s="39">
        <f t="shared" si="11"/>
      </c>
      <c r="CF44" s="39">
        <f t="shared" si="11"/>
      </c>
      <c r="CG44" s="39">
        <f t="shared" si="11"/>
      </c>
      <c r="CH44" s="234"/>
    </row>
    <row r="45" spans="3:86" ht="11.25" customHeight="1">
      <c r="C45" s="293" t="s">
        <v>129</v>
      </c>
      <c r="D45" s="149"/>
      <c r="E45" s="296">
        <v>0.42</v>
      </c>
      <c r="F45" s="296">
        <v>0.53</v>
      </c>
      <c r="G45" s="296">
        <v>0.46</v>
      </c>
      <c r="H45" s="296">
        <v>0.68</v>
      </c>
      <c r="I45" s="296">
        <v>0.68</v>
      </c>
      <c r="J45" s="296">
        <v>0.74</v>
      </c>
      <c r="K45" s="296">
        <v>0.76</v>
      </c>
      <c r="L45" s="296">
        <v>0.37</v>
      </c>
      <c r="M45" s="296">
        <v>0.44</v>
      </c>
      <c r="N45" s="296">
        <v>0.73</v>
      </c>
      <c r="O45" s="296">
        <v>0.35</v>
      </c>
      <c r="P45" s="296">
        <v>0.74</v>
      </c>
      <c r="Q45" s="296">
        <v>0.69</v>
      </c>
      <c r="R45" s="296">
        <v>0.67</v>
      </c>
      <c r="S45" s="296">
        <v>0.5</v>
      </c>
      <c r="T45" s="296">
        <v>0.49</v>
      </c>
      <c r="U45" s="296">
        <v>0.35</v>
      </c>
      <c r="V45" s="296">
        <v>0.78</v>
      </c>
      <c r="W45" s="296">
        <v>0.35</v>
      </c>
      <c r="X45" s="296">
        <v>0.35</v>
      </c>
      <c r="Y45" s="296">
        <v>0.71</v>
      </c>
      <c r="Z45" s="296">
        <v>0.35</v>
      </c>
      <c r="AA45" s="296">
        <v>0.34</v>
      </c>
      <c r="AB45" s="296">
        <v>0.52</v>
      </c>
      <c r="AC45" s="296">
        <v>0.44</v>
      </c>
      <c r="AD45" s="296">
        <v>0.63</v>
      </c>
      <c r="AE45" s="296">
        <v>0.74</v>
      </c>
      <c r="AF45" s="296">
        <v>0.8</v>
      </c>
      <c r="AG45" s="296">
        <v>0.79</v>
      </c>
      <c r="AH45" s="296">
        <v>0.41</v>
      </c>
      <c r="AI45" s="296">
        <v>0.68</v>
      </c>
      <c r="AJ45" s="296">
        <v>0.31</v>
      </c>
      <c r="AK45" s="296">
        <v>0.58</v>
      </c>
      <c r="AL45" s="296">
        <v>0.52</v>
      </c>
      <c r="AM45" s="296">
        <v>0.77</v>
      </c>
      <c r="AN45" s="296">
        <v>0.61</v>
      </c>
      <c r="AO45" s="296">
        <v>0.48</v>
      </c>
      <c r="AP45" s="296">
        <v>0.36</v>
      </c>
      <c r="AQ45" s="296">
        <v>0.31</v>
      </c>
      <c r="AR45" s="296">
        <v>0.34</v>
      </c>
      <c r="AS45" s="296">
        <v>0.17</v>
      </c>
      <c r="AT45" s="296">
        <v>0.22</v>
      </c>
      <c r="AU45" s="296">
        <v>0.64</v>
      </c>
      <c r="AV45" s="296">
        <v>0.72</v>
      </c>
      <c r="AW45" s="296">
        <v>0.68</v>
      </c>
      <c r="AX45" s="296">
        <v>0.3</v>
      </c>
      <c r="AY45" s="296">
        <v>0.65</v>
      </c>
      <c r="AZ45" s="296">
        <v>0.46</v>
      </c>
      <c r="BA45" s="296">
        <v>0.45</v>
      </c>
      <c r="BB45" s="296">
        <v>0.24</v>
      </c>
      <c r="BC45" s="296">
        <v>0.67</v>
      </c>
      <c r="BD45" s="296">
        <v>0.67</v>
      </c>
      <c r="BE45" s="296">
        <v>0.67</v>
      </c>
      <c r="BF45" s="296">
        <v>0.67</v>
      </c>
      <c r="BG45" s="296">
        <v>0.34</v>
      </c>
      <c r="BH45" s="296">
        <v>0.92</v>
      </c>
      <c r="BI45" s="296">
        <v>0.76</v>
      </c>
      <c r="BJ45" s="296">
        <v>0.61</v>
      </c>
      <c r="BK45" s="296">
        <v>0.87</v>
      </c>
      <c r="BL45" s="296">
        <v>0.93</v>
      </c>
      <c r="BM45" s="296">
        <v>0.89</v>
      </c>
      <c r="BN45" s="296">
        <v>0.36</v>
      </c>
      <c r="BO45" s="296">
        <v>0.54</v>
      </c>
      <c r="BP45" s="296">
        <v>0.7</v>
      </c>
      <c r="BQ45" s="296">
        <v>0.82</v>
      </c>
      <c r="BR45" s="296">
        <v>0.84</v>
      </c>
      <c r="BS45" s="296">
        <v>0.87</v>
      </c>
      <c r="BT45" s="296">
        <v>0.87</v>
      </c>
      <c r="BU45" s="294"/>
      <c r="BV45" s="295">
        <v>0.22</v>
      </c>
      <c r="BW45" s="295">
        <v>0.26</v>
      </c>
      <c r="BX45" s="295">
        <v>0.53</v>
      </c>
      <c r="BY45" s="295">
        <v>0.29</v>
      </c>
      <c r="BZ45" s="295">
        <v>0.55</v>
      </c>
      <c r="CA45" s="295">
        <v>0.63</v>
      </c>
      <c r="CB45" s="295">
        <v>0.64</v>
      </c>
      <c r="CC45" s="295">
        <v>0.69</v>
      </c>
      <c r="CD45" s="295">
        <v>0.37</v>
      </c>
      <c r="CE45" s="295">
        <v>0.33</v>
      </c>
      <c r="CF45" s="295">
        <v>0.51</v>
      </c>
      <c r="CG45" s="295">
        <v>0.25</v>
      </c>
      <c r="CH45" s="149"/>
    </row>
    <row r="46" spans="3:86" s="36" customFormat="1" ht="11.25" customHeight="1">
      <c r="C46" s="51"/>
      <c r="D46" s="51"/>
      <c r="BM46" s="50"/>
      <c r="BN46" s="50"/>
      <c r="BO46" s="50"/>
      <c r="BP46" s="50"/>
      <c r="BQ46" s="50"/>
      <c r="BR46" s="50"/>
      <c r="BS46"/>
      <c r="CD46">
        <f>IF(CH52&gt;0,"Nombre de ligne(s) à vérifier","")</f>
      </c>
      <c r="CE46"/>
      <c r="CF46"/>
      <c r="CG46"/>
      <c r="CH46" s="234"/>
    </row>
    <row r="47" spans="3:86" s="36" customFormat="1" ht="11.25" customHeight="1">
      <c r="C47" s="99"/>
      <c r="D47" s="99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9"/>
      <c r="BN47" s="99"/>
      <c r="BO47" s="99"/>
      <c r="BP47" s="99"/>
      <c r="BQ47" s="99"/>
      <c r="BR47" s="99"/>
      <c r="BS47" s="99"/>
      <c r="BT47" s="98"/>
      <c r="BU47" s="98"/>
      <c r="BV47" s="98"/>
      <c r="BW47" s="98"/>
      <c r="BX47" s="98"/>
      <c r="BY47" s="98"/>
      <c r="BZ47" s="98"/>
      <c r="CA47" s="98"/>
      <c r="CB47" s="327">
        <f>IF(CH47&gt;1,"Nombre de lignes à compléter : ",IF(CH47=1,"1 ligne à compléter",""))</f>
      </c>
      <c r="CC47" s="327"/>
      <c r="CD47" s="327"/>
      <c r="CE47" s="327"/>
      <c r="CF47" s="327"/>
      <c r="CG47" s="327"/>
      <c r="CH47" s="201">
        <f>COUNTIF(CH3:CH37,"!")</f>
        <v>0</v>
      </c>
    </row>
    <row r="48" spans="3:86" s="36" customFormat="1" ht="11.25" customHeight="1">
      <c r="C48" s="99"/>
      <c r="D48" s="99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234"/>
    </row>
    <row r="49" spans="3:86" s="36" customFormat="1" ht="2.25" customHeight="1">
      <c r="C49" s="99"/>
      <c r="D49" s="99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  <c r="CB49" s="98"/>
      <c r="CC49" s="98"/>
      <c r="CD49" s="98"/>
      <c r="CE49" s="98"/>
      <c r="CF49" s="98"/>
      <c r="CG49" s="98"/>
      <c r="CH49" s="51"/>
    </row>
    <row r="50" spans="3:86" s="36" customFormat="1" ht="12.75">
      <c r="C50" s="99"/>
      <c r="D50" s="99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  <c r="CG50" s="98"/>
      <c r="CH50" s="234"/>
    </row>
    <row r="51" spans="3:86" s="36" customFormat="1" ht="12.75">
      <c r="C51" s="99"/>
      <c r="D51" s="99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  <c r="CB51" s="98"/>
      <c r="CC51" s="98"/>
      <c r="CD51" s="98"/>
      <c r="CE51" s="98"/>
      <c r="CF51" s="98"/>
      <c r="CG51" s="98"/>
      <c r="CH51" s="234"/>
    </row>
    <row r="52" spans="3:86" s="36" customFormat="1" ht="12.75">
      <c r="C52" s="99"/>
      <c r="D52" s="99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8"/>
      <c r="BR52" s="98"/>
      <c r="BS52" s="98"/>
      <c r="BT52" s="98"/>
      <c r="BU52" s="98"/>
      <c r="BV52" s="98"/>
      <c r="BW52" s="98"/>
      <c r="BX52" s="98"/>
      <c r="BY52" s="98"/>
      <c r="BZ52" s="98"/>
      <c r="CA52" s="98"/>
      <c r="CB52" s="98"/>
      <c r="CC52" s="98"/>
      <c r="CD52" s="98"/>
      <c r="CE52" s="98"/>
      <c r="CF52" s="98"/>
      <c r="CG52" s="98"/>
      <c r="CH52" s="202"/>
    </row>
    <row r="53" ht="12.75">
      <c r="CH53"/>
    </row>
  </sheetData>
  <sheetProtection sheet="1" objects="1" scenarios="1"/>
  <mergeCells count="2">
    <mergeCell ref="CB47:CG47"/>
    <mergeCell ref="A3:B3"/>
  </mergeCells>
  <conditionalFormatting sqref="E44:CG44">
    <cfRule type="cellIs" priority="1" dxfId="0" operator="lessThan" stopIfTrue="1">
      <formula>E45</formula>
    </cfRule>
  </conditionalFormatting>
  <conditionalFormatting sqref="E3:CG36">
    <cfRule type="cellIs" priority="2" dxfId="1" operator="equal" stopIfTrue="1">
      <formula>E$2</formula>
    </cfRule>
  </conditionalFormatting>
  <conditionalFormatting sqref="CH52">
    <cfRule type="cellIs" priority="3" dxfId="2" operator="greaterThan" stopIfTrue="1">
      <formula>0</formula>
    </cfRule>
    <cfRule type="cellIs" priority="4" dxfId="3" operator="equal" stopIfTrue="1">
      <formula>0</formula>
    </cfRule>
  </conditionalFormatting>
  <conditionalFormatting sqref="CH3:CH36">
    <cfRule type="cellIs" priority="5" dxfId="4" operator="equal" stopIfTrue="1">
      <formula>"a"</formula>
    </cfRule>
    <cfRule type="cellIs" priority="6" dxfId="2" operator="equal" stopIfTrue="1">
      <formula>"!"</formula>
    </cfRule>
  </conditionalFormatting>
  <conditionalFormatting sqref="CB47:CG47">
    <cfRule type="cellIs" priority="7" dxfId="5" operator="notEqual" stopIfTrue="1">
      <formula>""</formula>
    </cfRule>
  </conditionalFormatting>
  <conditionalFormatting sqref="CH47">
    <cfRule type="cellIs" priority="8" dxfId="6" operator="greaterThan" stopIfTrue="1">
      <formula>1</formula>
    </cfRule>
    <cfRule type="cellIs" priority="9" dxfId="3" operator="equal" stopIfTrue="1">
      <formula>0</formula>
    </cfRule>
    <cfRule type="cellIs" priority="10" dxfId="7" operator="equal" stopIfTrue="1">
      <formula>1</formula>
    </cfRule>
  </conditionalFormatting>
  <dataValidations count="4">
    <dataValidation type="list" operator="equal" allowBlank="1" showDropDown="1" showInputMessage="1" showErrorMessage="1" error="Uniquement 1 0 9  a" sqref="E3:AA36">
      <formula1>"1,9,0,a"</formula1>
    </dataValidation>
    <dataValidation type="list" operator="equal" allowBlank="1" showDropDown="1" showInputMessage="1" showErrorMessage="1" error="Uniquement 1 8 0 9  a" sqref="BX3:BX36">
      <formula1>"1,8,9,0,a"</formula1>
    </dataValidation>
    <dataValidation type="list" operator="equal" allowBlank="1" showDropDown="1" showInputMessage="1" showErrorMessage="1" error="Uniquement 1 0 9  a" sqref="AB3:AB36">
      <formula1>"1,8,9,0,a"</formula1>
    </dataValidation>
    <dataValidation type="list" allowBlank="1" showDropDown="1" showInputMessage="1" showErrorMessage="1" error="Uniquement 1 0 9 a" sqref="BY3:CG36 AC3:BW36">
      <formula1>"1,9,0,a"</formula1>
    </dataValidation>
  </dataValidations>
  <printOptions/>
  <pageMargins left="0.31496062992125984" right="0.2755905511811024" top="0.4724409448818898" bottom="0.4724409448818898" header="0.31496062992125984" footer="0.35433070866141736"/>
  <pageSetup fitToWidth="12" orientation="landscape" pageOrder="overThenDown" paperSize="9" scale="44" r:id="rId2"/>
  <headerFooter alignWithMargins="0">
    <oddHeader>&amp;C&amp;F</oddHeader>
    <oddFooter>&amp;LEvaluation externe P2 2008 Mathématique&amp;C&amp;A&amp;RPage &amp;P / &amp;N</oddFooter>
  </headerFooter>
  <colBreaks count="1" manualBreakCount="1">
    <brk id="54" max="5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8"/>
  </sheetPr>
  <dimension ref="A1:DV57"/>
  <sheetViews>
    <sheetView view="pageBreakPreview" zoomScale="85" zoomScaleSheetLayoutView="85" workbookViewId="0" topLeftCell="A1">
      <pane xSplit="3" topLeftCell="D1" activePane="topRight" state="frozen"/>
      <selection pane="topLeft" activeCell="A1" sqref="A1"/>
      <selection pane="topRight" activeCell="C4" sqref="C4"/>
    </sheetView>
  </sheetViews>
  <sheetFormatPr defaultColWidth="11.421875" defaultRowHeight="12.75"/>
  <cols>
    <col min="1" max="1" width="4.8515625" style="18" customWidth="1"/>
    <col min="2" max="2" width="6.28125" style="18" customWidth="1"/>
    <col min="3" max="3" width="19.140625" style="18" customWidth="1"/>
    <col min="4" max="4" width="5.8515625" style="18" bestFit="1" customWidth="1"/>
    <col min="5" max="5" width="12.8515625" style="36" customWidth="1"/>
    <col min="6" max="6" width="12.8515625" style="40" customWidth="1"/>
    <col min="7" max="7" width="1.421875" style="40" customWidth="1"/>
    <col min="8" max="8" width="14.00390625" style="40" customWidth="1"/>
    <col min="9" max="9" width="1.8515625" style="36" customWidth="1"/>
    <col min="10" max="10" width="12.140625" style="36" customWidth="1"/>
    <col min="11" max="11" width="12.140625" style="40" customWidth="1"/>
    <col min="12" max="12" width="12.140625" style="36" customWidth="1"/>
    <col min="13" max="17" width="12.140625" style="40" customWidth="1"/>
    <col min="18" max="18" width="1.28515625" style="18" customWidth="1"/>
    <col min="19" max="19" width="21.8515625" style="18" customWidth="1"/>
    <col min="20" max="22" width="4.421875" style="36" customWidth="1"/>
    <col min="23" max="23" width="11.421875" style="18" customWidth="1"/>
    <col min="24" max="24" width="11.28125" style="18" customWidth="1"/>
    <col min="25" max="40" width="4.421875" style="36" customWidth="1"/>
    <col min="41" max="41" width="11.421875" style="18" customWidth="1"/>
    <col min="42" max="42" width="11.28125" style="18" customWidth="1"/>
    <col min="43" max="43" width="16.7109375" style="18" customWidth="1"/>
    <col min="44" max="44" width="11.8515625" style="18" customWidth="1"/>
    <col min="45" max="48" width="4.421875" style="36" customWidth="1"/>
    <col min="49" max="50" width="11.421875" style="18" customWidth="1"/>
    <col min="51" max="58" width="4.421875" style="36" customWidth="1"/>
    <col min="59" max="59" width="11.421875" style="18" customWidth="1"/>
    <col min="60" max="60" width="11.7109375" style="18" customWidth="1"/>
    <col min="61" max="61" width="16.7109375" style="18" customWidth="1"/>
    <col min="62" max="62" width="11.8515625" style="18" customWidth="1"/>
    <col min="63" max="67" width="4.421875" style="36" customWidth="1"/>
    <col min="68" max="69" width="11.421875" style="18" customWidth="1"/>
    <col min="70" max="74" width="4.421875" style="36" customWidth="1"/>
    <col min="75" max="76" width="11.421875" style="18" customWidth="1"/>
    <col min="77" max="78" width="4.421875" style="36" customWidth="1"/>
    <col min="79" max="80" width="11.421875" style="18" customWidth="1"/>
    <col min="81" max="85" width="4.421875" style="36" customWidth="1"/>
    <col min="86" max="87" width="11.421875" style="18" customWidth="1"/>
    <col min="88" max="99" width="4.421875" style="36" customWidth="1"/>
    <col min="100" max="101" width="11.421875" style="18" customWidth="1"/>
    <col min="102" max="108" width="4.421875" style="36" customWidth="1"/>
    <col min="109" max="110" width="11.421875" style="18" customWidth="1"/>
    <col min="111" max="124" width="4.421875" style="36" customWidth="1"/>
    <col min="125" max="16384" width="11.421875" style="18" customWidth="1"/>
  </cols>
  <sheetData>
    <row r="1" spans="1:126" ht="43.5" customHeight="1" thickBot="1">
      <c r="A1" s="196" t="s">
        <v>103</v>
      </c>
      <c r="B1" s="197"/>
      <c r="C1" s="183" t="s">
        <v>29</v>
      </c>
      <c r="D1" s="339" t="s">
        <v>30</v>
      </c>
      <c r="E1" s="342" t="s">
        <v>102</v>
      </c>
      <c r="F1" s="342"/>
      <c r="G1" s="323"/>
      <c r="H1" s="355" t="s">
        <v>131</v>
      </c>
      <c r="I1" s="25"/>
      <c r="J1" s="343" t="s">
        <v>76</v>
      </c>
      <c r="K1" s="344"/>
      <c r="L1" s="347" t="s">
        <v>60</v>
      </c>
      <c r="M1" s="348"/>
      <c r="N1" s="351" t="s">
        <v>62</v>
      </c>
      <c r="O1" s="352"/>
      <c r="P1" s="334" t="s">
        <v>61</v>
      </c>
      <c r="Q1" s="335"/>
      <c r="R1" s="217"/>
      <c r="S1" s="338" t="s">
        <v>31</v>
      </c>
      <c r="T1" s="400" t="s">
        <v>16</v>
      </c>
      <c r="U1" s="401"/>
      <c r="V1" s="401"/>
      <c r="W1" s="389"/>
      <c r="X1" s="390"/>
      <c r="Y1" s="402" t="s">
        <v>18</v>
      </c>
      <c r="Z1" s="408"/>
      <c r="AA1" s="408"/>
      <c r="AB1" s="408"/>
      <c r="AC1" s="408"/>
      <c r="AD1" s="408"/>
      <c r="AE1" s="408"/>
      <c r="AF1" s="408"/>
      <c r="AG1" s="389"/>
      <c r="AH1" s="389"/>
      <c r="AI1" s="389"/>
      <c r="AJ1" s="389"/>
      <c r="AK1" s="389"/>
      <c r="AL1" s="389"/>
      <c r="AM1" s="389"/>
      <c r="AN1" s="389"/>
      <c r="AO1" s="389"/>
      <c r="AP1" s="390"/>
      <c r="AQ1" s="380" t="s">
        <v>34</v>
      </c>
      <c r="AR1" s="381"/>
      <c r="AS1" s="402" t="s">
        <v>48</v>
      </c>
      <c r="AT1" s="403"/>
      <c r="AU1" s="403"/>
      <c r="AV1" s="403"/>
      <c r="AW1" s="403"/>
      <c r="AX1" s="404"/>
      <c r="AY1" s="402" t="s">
        <v>59</v>
      </c>
      <c r="AZ1" s="408"/>
      <c r="BA1" s="408"/>
      <c r="BB1" s="408"/>
      <c r="BC1" s="408"/>
      <c r="BD1" s="408"/>
      <c r="BE1" s="408"/>
      <c r="BF1" s="408"/>
      <c r="BG1" s="408"/>
      <c r="BH1" s="409"/>
      <c r="BI1" s="380" t="s">
        <v>36</v>
      </c>
      <c r="BJ1" s="381"/>
      <c r="BK1" s="360" t="s">
        <v>49</v>
      </c>
      <c r="BL1" s="361"/>
      <c r="BM1" s="361"/>
      <c r="BN1" s="361"/>
      <c r="BO1" s="361"/>
      <c r="BP1" s="361"/>
      <c r="BQ1" s="362"/>
      <c r="BR1" s="360" t="s">
        <v>85</v>
      </c>
      <c r="BS1" s="361"/>
      <c r="BT1" s="361"/>
      <c r="BU1" s="361"/>
      <c r="BV1" s="361"/>
      <c r="BW1" s="361"/>
      <c r="BX1" s="362"/>
      <c r="BY1" s="394" t="s">
        <v>28</v>
      </c>
      <c r="BZ1" s="395"/>
      <c r="CA1" s="395"/>
      <c r="CB1" s="396"/>
      <c r="CC1" s="397" t="s">
        <v>100</v>
      </c>
      <c r="CD1" s="398"/>
      <c r="CE1" s="398"/>
      <c r="CF1" s="398"/>
      <c r="CG1" s="398"/>
      <c r="CH1" s="398"/>
      <c r="CI1" s="399"/>
      <c r="CJ1" s="388" t="s">
        <v>39</v>
      </c>
      <c r="CK1" s="388"/>
      <c r="CL1" s="388"/>
      <c r="CM1" s="388"/>
      <c r="CN1" s="388"/>
      <c r="CO1" s="388"/>
      <c r="CP1" s="388"/>
      <c r="CQ1" s="389"/>
      <c r="CR1" s="389"/>
      <c r="CS1" s="389"/>
      <c r="CT1" s="389"/>
      <c r="CU1" s="389"/>
      <c r="CV1" s="389"/>
      <c r="CW1" s="390"/>
      <c r="CX1" s="388" t="s">
        <v>40</v>
      </c>
      <c r="CY1" s="388"/>
      <c r="CZ1" s="388"/>
      <c r="DA1" s="389"/>
      <c r="DB1" s="389"/>
      <c r="DC1" s="389"/>
      <c r="DD1" s="389"/>
      <c r="DE1" s="389"/>
      <c r="DF1" s="391"/>
      <c r="DG1" s="384" t="s">
        <v>6</v>
      </c>
      <c r="DH1" s="385"/>
      <c r="DI1" s="385"/>
      <c r="DJ1" s="385"/>
      <c r="DK1" s="385"/>
      <c r="DL1" s="385"/>
      <c r="DM1" s="385"/>
      <c r="DN1" s="385"/>
      <c r="DO1" s="385"/>
      <c r="DP1" s="385"/>
      <c r="DQ1" s="385"/>
      <c r="DR1" s="385"/>
      <c r="DS1" s="385"/>
      <c r="DT1" s="386"/>
      <c r="DU1" s="386"/>
      <c r="DV1" s="387"/>
    </row>
    <row r="2" spans="1:126" ht="21.75" customHeight="1">
      <c r="A2" s="179"/>
      <c r="B2" s="166"/>
      <c r="C2" s="159" t="s">
        <v>75</v>
      </c>
      <c r="D2" s="340"/>
      <c r="E2" s="342"/>
      <c r="F2" s="342"/>
      <c r="G2" s="323"/>
      <c r="H2" s="356"/>
      <c r="I2" s="27"/>
      <c r="J2" s="345"/>
      <c r="K2" s="346"/>
      <c r="L2" s="349"/>
      <c r="M2" s="350"/>
      <c r="N2" s="353"/>
      <c r="O2" s="354"/>
      <c r="P2" s="336"/>
      <c r="Q2" s="337"/>
      <c r="R2" s="218"/>
      <c r="S2" s="284"/>
      <c r="T2" s="185">
        <f>'Encodage réponses Es'!E1</f>
        <v>1</v>
      </c>
      <c r="U2" s="239">
        <f>'Encodage réponses Es'!F1</f>
        <v>2</v>
      </c>
      <c r="V2" s="223">
        <f>'Encodage réponses Es'!G1</f>
        <v>3</v>
      </c>
      <c r="W2" s="371" t="s">
        <v>50</v>
      </c>
      <c r="X2" s="372"/>
      <c r="Y2" s="124">
        <f>'Encodage réponses Es'!H1</f>
        <v>4</v>
      </c>
      <c r="Z2" s="124">
        <f>'Encodage réponses Es'!I1</f>
        <v>5</v>
      </c>
      <c r="AA2" s="124">
        <f>'Encodage réponses Es'!J1</f>
        <v>6</v>
      </c>
      <c r="AB2" s="124">
        <f>'Encodage réponses Es'!K1</f>
        <v>7</v>
      </c>
      <c r="AC2" s="124">
        <f>'Encodage réponses Es'!L1</f>
        <v>8</v>
      </c>
      <c r="AD2" s="124">
        <f>'Encodage réponses Es'!Q1</f>
        <v>13</v>
      </c>
      <c r="AE2" s="124">
        <f>'Encodage réponses Es'!R1</f>
        <v>14</v>
      </c>
      <c r="AF2" s="124">
        <f>'Encodage réponses Es'!S1</f>
        <v>15</v>
      </c>
      <c r="AG2" s="124">
        <f>'Encodage réponses Es'!T1</f>
        <v>16</v>
      </c>
      <c r="AH2" s="124">
        <f>'Encodage réponses Es'!U1</f>
        <v>17</v>
      </c>
      <c r="AI2" s="124">
        <f>'Encodage réponses Es'!V1</f>
        <v>18</v>
      </c>
      <c r="AJ2" s="124">
        <f>'Encodage réponses Es'!W1</f>
        <v>19</v>
      </c>
      <c r="AK2" s="124">
        <f>'Encodage réponses Es'!X1</f>
        <v>20</v>
      </c>
      <c r="AL2" s="124">
        <f>'Encodage réponses Es'!Y1</f>
        <v>21</v>
      </c>
      <c r="AM2" s="124">
        <f>'Encodage réponses Es'!Z1</f>
        <v>22</v>
      </c>
      <c r="AN2" s="124">
        <f>'Encodage réponses Es'!AA1</f>
        <v>23</v>
      </c>
      <c r="AO2" s="375" t="s">
        <v>17</v>
      </c>
      <c r="AP2" s="376"/>
      <c r="AQ2" s="382"/>
      <c r="AR2" s="383"/>
      <c r="AS2" s="124">
        <f>'Encodage réponses Es'!M1</f>
        <v>9</v>
      </c>
      <c r="AT2" s="124">
        <f>'Encodage réponses Es'!N1</f>
        <v>10</v>
      </c>
      <c r="AU2" s="124">
        <f>'Encodage réponses Es'!O1</f>
        <v>11</v>
      </c>
      <c r="AV2" s="124">
        <f>'Encodage réponses Es'!P1</f>
        <v>12</v>
      </c>
      <c r="AW2" s="375" t="s">
        <v>52</v>
      </c>
      <c r="AX2" s="405"/>
      <c r="AY2" s="124">
        <f>'Encodage réponses Es'!AB1</f>
        <v>24</v>
      </c>
      <c r="AZ2" s="124">
        <f>'Encodage réponses Es'!AC1</f>
        <v>25</v>
      </c>
      <c r="BA2" s="124">
        <f>'Encodage réponses Es'!AD1</f>
        <v>26</v>
      </c>
      <c r="BB2" s="124">
        <f>'Encodage réponses Es'!AE1</f>
        <v>27</v>
      </c>
      <c r="BC2" s="124">
        <f>'Encodage réponses Es'!AF1</f>
        <v>28</v>
      </c>
      <c r="BD2" s="124">
        <f>'Encodage réponses Es'!AG1</f>
        <v>29</v>
      </c>
      <c r="BE2" s="124">
        <f>'Encodage réponses Es'!AH1</f>
        <v>30</v>
      </c>
      <c r="BF2" s="223">
        <f>'Encodage réponses Es'!AI1</f>
        <v>31</v>
      </c>
      <c r="BG2" s="375" t="s">
        <v>56</v>
      </c>
      <c r="BH2" s="378"/>
      <c r="BI2" s="382"/>
      <c r="BJ2" s="383"/>
      <c r="BK2" s="126">
        <f>'Encodage réponses Es'!BQ1</f>
        <v>65</v>
      </c>
      <c r="BL2" s="126">
        <f>'Encodage réponses Es'!BR1</f>
        <v>66</v>
      </c>
      <c r="BM2" s="126">
        <f>'Encodage réponses Es'!BS1</f>
        <v>67</v>
      </c>
      <c r="BN2" s="126">
        <f>'Encodage réponses Es'!BT1</f>
        <v>68</v>
      </c>
      <c r="BO2" s="126">
        <f>'Encodage réponses Es'!BU1</f>
        <v>69</v>
      </c>
      <c r="BP2" s="363" t="s">
        <v>52</v>
      </c>
      <c r="BQ2" s="376"/>
      <c r="BR2" s="127">
        <f>'Encodage réponses Es'!BV1</f>
        <v>70</v>
      </c>
      <c r="BS2" s="128">
        <f>'Encodage réponses Es'!BW1</f>
        <v>71</v>
      </c>
      <c r="BT2" s="128">
        <f>'Encodage réponses Es'!BX1</f>
        <v>72</v>
      </c>
      <c r="BU2" s="128">
        <f>'Encodage réponses Es'!BY1</f>
        <v>73</v>
      </c>
      <c r="BV2" s="129">
        <f>'Encodage réponses Es'!BZ1</f>
        <v>74</v>
      </c>
      <c r="BW2" s="363" t="s">
        <v>25</v>
      </c>
      <c r="BX2" s="364"/>
      <c r="BY2" s="127">
        <f>'Encodage réponses Es'!CF1</f>
        <v>80</v>
      </c>
      <c r="BZ2" s="129">
        <f>'Encodage réponses Es'!CG1</f>
        <v>81</v>
      </c>
      <c r="CA2" s="363" t="s">
        <v>37</v>
      </c>
      <c r="CB2" s="364"/>
      <c r="CC2" s="126">
        <f>'Encodage réponses Es'!CA1</f>
        <v>75</v>
      </c>
      <c r="CD2" s="126">
        <f>'Encodage réponses Es'!CB1</f>
        <v>76</v>
      </c>
      <c r="CE2" s="126">
        <f>'Encodage réponses Es'!CC1</f>
        <v>77</v>
      </c>
      <c r="CF2" s="126">
        <f>'Encodage réponses Es'!CD1</f>
        <v>78</v>
      </c>
      <c r="CG2" s="126">
        <f>'Encodage réponses Es'!CE1</f>
        <v>79</v>
      </c>
      <c r="CH2" s="363" t="s">
        <v>25</v>
      </c>
      <c r="CI2" s="364"/>
      <c r="CJ2" s="146">
        <f>'Encodage réponses Es'!AJ1</f>
        <v>32</v>
      </c>
      <c r="CK2" s="146">
        <f>'Encodage réponses Es'!AK1</f>
        <v>33</v>
      </c>
      <c r="CL2" s="146">
        <f>'Encodage réponses Es'!AL1</f>
        <v>34</v>
      </c>
      <c r="CM2" s="146">
        <f>'Encodage réponses Es'!AM1</f>
        <v>35</v>
      </c>
      <c r="CN2" s="146">
        <f>'Encodage réponses Es'!AN1</f>
        <v>36</v>
      </c>
      <c r="CO2" s="146">
        <f>'Encodage réponses Es'!AO1</f>
        <v>37</v>
      </c>
      <c r="CP2" s="146">
        <f>'Encodage réponses Es'!AP1</f>
        <v>38</v>
      </c>
      <c r="CQ2" s="146">
        <f>'Encodage réponses Es'!AQ1</f>
        <v>39</v>
      </c>
      <c r="CR2" s="146">
        <f>'Encodage réponses Es'!AR1</f>
        <v>40</v>
      </c>
      <c r="CS2" s="146">
        <f>'Encodage réponses Es'!AS1</f>
        <v>41</v>
      </c>
      <c r="CT2" s="146">
        <f>'Encodage réponses Es'!AT1</f>
        <v>42</v>
      </c>
      <c r="CU2" s="146">
        <f>'Encodage réponses Es'!AU1</f>
        <v>43</v>
      </c>
      <c r="CV2" s="367" t="s">
        <v>26</v>
      </c>
      <c r="CW2" s="376"/>
      <c r="CX2" s="146">
        <f>'Encodage réponses Es'!AV1</f>
        <v>44</v>
      </c>
      <c r="CY2" s="146">
        <f>'Encodage réponses Es'!AW1</f>
        <v>45</v>
      </c>
      <c r="CZ2" s="146">
        <f>'Encodage réponses Es'!AX1</f>
        <v>46</v>
      </c>
      <c r="DA2" s="146">
        <f>'Encodage réponses Es'!AY1</f>
        <v>47</v>
      </c>
      <c r="DB2" s="146">
        <f>'Encodage réponses Es'!AZ1</f>
        <v>48</v>
      </c>
      <c r="DC2" s="146">
        <f>'Encodage réponses Es'!BA1</f>
        <v>49</v>
      </c>
      <c r="DD2" s="146">
        <f>'Encodage réponses Es'!BB1</f>
        <v>50</v>
      </c>
      <c r="DE2" s="367" t="s">
        <v>38</v>
      </c>
      <c r="DF2" s="368"/>
      <c r="DG2" s="145">
        <f>'Encodage réponses Es'!BC1</f>
        <v>51</v>
      </c>
      <c r="DH2" s="144">
        <f>'Encodage réponses Es'!BD1</f>
        <v>52</v>
      </c>
      <c r="DI2" s="144">
        <f>'Encodage réponses Es'!BE1</f>
        <v>53</v>
      </c>
      <c r="DJ2" s="144">
        <f>'Encodage réponses Es'!BF1</f>
        <v>54</v>
      </c>
      <c r="DK2" s="144">
        <f>'Encodage réponses Es'!BG1</f>
        <v>55</v>
      </c>
      <c r="DL2" s="144">
        <f>'Encodage réponses Es'!BH1</f>
        <v>56</v>
      </c>
      <c r="DM2" s="144">
        <f>'Encodage réponses Es'!BI1</f>
        <v>57</v>
      </c>
      <c r="DN2" s="144">
        <f>'Encodage réponses Es'!BJ1</f>
        <v>58</v>
      </c>
      <c r="DO2" s="144">
        <f>'Encodage réponses Es'!BK1</f>
        <v>59</v>
      </c>
      <c r="DP2" s="144">
        <f>'Encodage réponses Es'!BL1</f>
        <v>60</v>
      </c>
      <c r="DQ2" s="144">
        <f>'Encodage réponses Es'!BM1</f>
        <v>61</v>
      </c>
      <c r="DR2" s="144">
        <f>'Encodage réponses Es'!BN1</f>
        <v>62</v>
      </c>
      <c r="DS2" s="144">
        <f>'Encodage réponses Es'!BO1</f>
        <v>63</v>
      </c>
      <c r="DT2" s="140">
        <f>'Encodage réponses Es'!BP1</f>
        <v>64</v>
      </c>
      <c r="DU2" s="379" t="s">
        <v>5</v>
      </c>
      <c r="DV2" s="376"/>
    </row>
    <row r="3" spans="1:126" s="118" customFormat="1" ht="54" thickBot="1">
      <c r="A3" s="180" t="s">
        <v>74</v>
      </c>
      <c r="B3" s="178"/>
      <c r="C3" s="168" t="s">
        <v>125</v>
      </c>
      <c r="D3" s="340"/>
      <c r="E3" s="170" t="s">
        <v>127</v>
      </c>
      <c r="F3" s="170" t="s">
        <v>80</v>
      </c>
      <c r="G3" s="324"/>
      <c r="H3" s="357"/>
      <c r="I3" s="169"/>
      <c r="J3" s="171" t="s">
        <v>15</v>
      </c>
      <c r="K3" s="172" t="s">
        <v>80</v>
      </c>
      <c r="L3" s="173" t="s">
        <v>128</v>
      </c>
      <c r="M3" s="174" t="s">
        <v>80</v>
      </c>
      <c r="N3" s="175" t="s">
        <v>96</v>
      </c>
      <c r="O3" s="176" t="s">
        <v>80</v>
      </c>
      <c r="P3" s="177" t="s">
        <v>97</v>
      </c>
      <c r="Q3" s="215" t="s">
        <v>80</v>
      </c>
      <c r="R3" s="182"/>
      <c r="S3" s="284"/>
      <c r="T3" s="130" t="str">
        <f>'Encodage réponses Es'!E2</f>
        <v>1-0-9</v>
      </c>
      <c r="U3" s="213" t="str">
        <f>'Encodage réponses Es'!F2</f>
        <v>1-0-9</v>
      </c>
      <c r="V3" s="214" t="str">
        <f>'Encodage réponses Es'!G2</f>
        <v>1-0-9</v>
      </c>
      <c r="W3" s="373"/>
      <c r="X3" s="374"/>
      <c r="Y3" s="130" t="str">
        <f>'Encodage réponses Es'!H2</f>
        <v>1-0-9</v>
      </c>
      <c r="Z3" s="213" t="str">
        <f>'Encodage réponses Es'!I2</f>
        <v>1-0-9</v>
      </c>
      <c r="AA3" s="213" t="str">
        <f>'Encodage réponses Es'!J2</f>
        <v>1-0-9</v>
      </c>
      <c r="AB3" s="213" t="str">
        <f>'Encodage réponses Es'!K2</f>
        <v>1-0-9</v>
      </c>
      <c r="AC3" s="213" t="str">
        <f>'Encodage réponses Es'!L2</f>
        <v>1-0-9</v>
      </c>
      <c r="AD3" s="213" t="str">
        <f>'Encodage réponses Es'!Q2</f>
        <v>1-0-9</v>
      </c>
      <c r="AE3" s="213" t="str">
        <f>'Encodage réponses Es'!R2</f>
        <v>1-0-9</v>
      </c>
      <c r="AF3" s="213" t="str">
        <f>'Encodage réponses Es'!S2</f>
        <v>1-0-9</v>
      </c>
      <c r="AG3" s="213" t="str">
        <f>'Encodage réponses Es'!T2</f>
        <v>1-0-9</v>
      </c>
      <c r="AH3" s="213" t="str">
        <f>'Encodage réponses Es'!U2</f>
        <v>1-0-9</v>
      </c>
      <c r="AI3" s="213" t="str">
        <f>'Encodage réponses Es'!V2</f>
        <v>1-0-9</v>
      </c>
      <c r="AJ3" s="213" t="str">
        <f>'Encodage réponses Es'!W2</f>
        <v>1-0-9</v>
      </c>
      <c r="AK3" s="213" t="str">
        <f>'Encodage réponses Es'!X2</f>
        <v>1-0-9</v>
      </c>
      <c r="AL3" s="213" t="str">
        <f>'Encodage réponses Es'!Y2</f>
        <v>1-0-9</v>
      </c>
      <c r="AM3" s="213" t="str">
        <f>'Encodage réponses Es'!Z2</f>
        <v>1-0-9</v>
      </c>
      <c r="AN3" s="213" t="str">
        <f>'Encodage réponses Es'!AA2</f>
        <v>1-0-9</v>
      </c>
      <c r="AO3" s="369"/>
      <c r="AP3" s="377"/>
      <c r="AQ3" s="211" t="s">
        <v>19</v>
      </c>
      <c r="AR3" s="212" t="s">
        <v>35</v>
      </c>
      <c r="AS3" s="125" t="str">
        <f>'Encodage réponses Es'!M2</f>
        <v>1-0-9</v>
      </c>
      <c r="AT3" s="125" t="str">
        <f>'Encodage réponses Es'!N2</f>
        <v>1-0-9</v>
      </c>
      <c r="AU3" s="125" t="str">
        <f>'Encodage réponses Es'!O2</f>
        <v>1-0-9</v>
      </c>
      <c r="AV3" s="125" t="str">
        <f>'Encodage réponses Es'!P2</f>
        <v>1-0-9</v>
      </c>
      <c r="AW3" s="406"/>
      <c r="AX3" s="407"/>
      <c r="AY3" s="130" t="str">
        <f>'Encodage réponses Es'!AB2</f>
        <v>1-8-0-9</v>
      </c>
      <c r="AZ3" s="213" t="str">
        <f>'Encodage réponses Es'!AC2</f>
        <v>1-0-9</v>
      </c>
      <c r="BA3" s="213" t="str">
        <f>'Encodage réponses Es'!AD2</f>
        <v>1-0-9</v>
      </c>
      <c r="BB3" s="213" t="str">
        <f>'Encodage réponses Es'!AE2</f>
        <v>1-0-9</v>
      </c>
      <c r="BC3" s="213" t="str">
        <f>'Encodage réponses Es'!AF2</f>
        <v>1-0-9</v>
      </c>
      <c r="BD3" s="213" t="str">
        <f>'Encodage réponses Es'!AG2</f>
        <v>1-0-9</v>
      </c>
      <c r="BE3" s="213" t="str">
        <f>'Encodage réponses Es'!AH2</f>
        <v>1-0-9</v>
      </c>
      <c r="BF3" s="214" t="str">
        <f>'Encodage réponses Es'!AI2</f>
        <v>1-0-9</v>
      </c>
      <c r="BG3" s="247" t="s">
        <v>107</v>
      </c>
      <c r="BH3" s="248" t="s">
        <v>108</v>
      </c>
      <c r="BI3" s="211" t="s">
        <v>26</v>
      </c>
      <c r="BJ3" s="212" t="s">
        <v>35</v>
      </c>
      <c r="BK3" s="125" t="str">
        <f>'Encodage réponses Es'!BQ2</f>
        <v>1-0-9</v>
      </c>
      <c r="BL3" s="125" t="str">
        <f>'Encodage réponses Es'!BR2</f>
        <v>1-0-9</v>
      </c>
      <c r="BM3" s="125" t="str">
        <f>'Encodage réponses Es'!BS2</f>
        <v>1-0-9</v>
      </c>
      <c r="BN3" s="125" t="str">
        <f>'Encodage réponses Es'!BT2</f>
        <v>1-0-9</v>
      </c>
      <c r="BO3" s="288" t="str">
        <f>'Encodage réponses Es'!BU2</f>
        <v>défectueux</v>
      </c>
      <c r="BP3" s="369"/>
      <c r="BQ3" s="377"/>
      <c r="BR3" s="130" t="str">
        <f>'Encodage réponses Es'!BV2</f>
        <v>1-0-9</v>
      </c>
      <c r="BS3" s="213" t="str">
        <f>'Encodage réponses Es'!BW2</f>
        <v>1-0-9</v>
      </c>
      <c r="BT3" s="213" t="str">
        <f>'Encodage réponses Es'!BX2</f>
        <v>1-8-0-9</v>
      </c>
      <c r="BU3" s="213" t="str">
        <f>'Encodage réponses Es'!BY2</f>
        <v>1-0-9</v>
      </c>
      <c r="BV3" s="214" t="str">
        <f>'Encodage réponses Es'!BZ2</f>
        <v>1-0-9</v>
      </c>
      <c r="BW3" s="249" t="s">
        <v>107</v>
      </c>
      <c r="BX3" s="250" t="s">
        <v>108</v>
      </c>
      <c r="BY3" s="125" t="str">
        <f>'Encodage réponses Es'!CF2</f>
        <v>1-0-9</v>
      </c>
      <c r="BZ3" s="214" t="str">
        <f>'Encodage réponses Es'!CG2</f>
        <v>1-0-9</v>
      </c>
      <c r="CA3" s="365"/>
      <c r="CB3" s="366"/>
      <c r="CC3" s="130" t="str">
        <f>'Encodage réponses Es'!CA2</f>
        <v>1-0-9</v>
      </c>
      <c r="CD3" s="213" t="str">
        <f>'Encodage réponses Es'!CB2</f>
        <v>1-0-9</v>
      </c>
      <c r="CE3" s="213" t="str">
        <f>'Encodage réponses Es'!CC2</f>
        <v>1-0-9</v>
      </c>
      <c r="CF3" s="213" t="str">
        <f>'Encodage réponses Es'!CD2</f>
        <v>1-0-9</v>
      </c>
      <c r="CG3" s="214" t="str">
        <f>'Encodage réponses Es'!CE2</f>
        <v>1-0-9</v>
      </c>
      <c r="CH3" s="365"/>
      <c r="CI3" s="366"/>
      <c r="CJ3" s="125" t="str">
        <f>'Encodage réponses Es'!AJ2</f>
        <v>1-0-9</v>
      </c>
      <c r="CK3" s="125" t="str">
        <f>'Encodage réponses Es'!AK2</f>
        <v>1-0-9</v>
      </c>
      <c r="CL3" s="125" t="str">
        <f>'Encodage réponses Es'!AL2</f>
        <v>1-0-9</v>
      </c>
      <c r="CM3" s="125" t="str">
        <f>'Encodage réponses Es'!AM2</f>
        <v>1-0-9</v>
      </c>
      <c r="CN3" s="125" t="str">
        <f>'Encodage réponses Es'!AN2</f>
        <v>1-0-9</v>
      </c>
      <c r="CO3" s="125" t="str">
        <f>'Encodage réponses Es'!AO2</f>
        <v>1-0-9</v>
      </c>
      <c r="CP3" s="125" t="str">
        <f>'Encodage réponses Es'!AP2</f>
        <v>1-0-9</v>
      </c>
      <c r="CQ3" s="125" t="str">
        <f>'Encodage réponses Es'!AQ2</f>
        <v>1-0-9</v>
      </c>
      <c r="CR3" s="125" t="str">
        <f>'Encodage réponses Es'!AR2</f>
        <v>1-0-9</v>
      </c>
      <c r="CS3" s="125" t="str">
        <f>'Encodage réponses Es'!AS2</f>
        <v>1-0-9</v>
      </c>
      <c r="CT3" s="125" t="str">
        <f>'Encodage réponses Es'!AT2</f>
        <v>1-0-9</v>
      </c>
      <c r="CU3" s="125" t="str">
        <f>'Encodage réponses Es'!AU2</f>
        <v>1-0-9</v>
      </c>
      <c r="CV3" s="369"/>
      <c r="CW3" s="377"/>
      <c r="CX3" s="130" t="str">
        <f>'Encodage réponses Es'!AV2</f>
        <v>1-0-9</v>
      </c>
      <c r="CY3" s="213" t="str">
        <f>'Encodage réponses Es'!AW2</f>
        <v>1-0-9</v>
      </c>
      <c r="CZ3" s="213" t="str">
        <f>'Encodage réponses Es'!AX2</f>
        <v>1-0-9</v>
      </c>
      <c r="DA3" s="213" t="str">
        <f>'Encodage réponses Es'!AY2</f>
        <v>1-0-9</v>
      </c>
      <c r="DB3" s="213" t="str">
        <f>'Encodage réponses Es'!AZ2</f>
        <v>1-0-9</v>
      </c>
      <c r="DC3" s="213" t="str">
        <f>'Encodage réponses Es'!BA2</f>
        <v>1-0-9</v>
      </c>
      <c r="DD3" s="214" t="str">
        <f>'Encodage réponses Es'!BB2</f>
        <v>1-0-9</v>
      </c>
      <c r="DE3" s="369"/>
      <c r="DF3" s="370"/>
      <c r="DG3" s="130" t="str">
        <f>'Encodage réponses Es'!BC2</f>
        <v>1-0-9</v>
      </c>
      <c r="DH3" s="213" t="str">
        <f>'Encodage réponses Es'!BD2</f>
        <v>1-0-9</v>
      </c>
      <c r="DI3" s="213" t="str">
        <f>'Encodage réponses Es'!BE2</f>
        <v>1-0-9</v>
      </c>
      <c r="DJ3" s="213" t="str">
        <f>'Encodage réponses Es'!BF2</f>
        <v>1-0-9</v>
      </c>
      <c r="DK3" s="213" t="str">
        <f>'Encodage réponses Es'!BG2</f>
        <v>1-0-9</v>
      </c>
      <c r="DL3" s="213" t="str">
        <f>'Encodage réponses Es'!BH2</f>
        <v>1-0-9</v>
      </c>
      <c r="DM3" s="213" t="str">
        <f>'Encodage réponses Es'!BI2</f>
        <v>1-0-9</v>
      </c>
      <c r="DN3" s="213" t="str">
        <f>'Encodage réponses Es'!BJ2</f>
        <v>1-0-9</v>
      </c>
      <c r="DO3" s="213" t="str">
        <f>'Encodage réponses Es'!BK2</f>
        <v>1-0-9</v>
      </c>
      <c r="DP3" s="213" t="str">
        <f>'Encodage réponses Es'!BL2</f>
        <v>1-0-9</v>
      </c>
      <c r="DQ3" s="213" t="str">
        <f>'Encodage réponses Es'!BM2</f>
        <v>1-0-9</v>
      </c>
      <c r="DR3" s="213" t="str">
        <f>'Encodage réponses Es'!BN2</f>
        <v>1-0-9</v>
      </c>
      <c r="DS3" s="213" t="str">
        <f>'Encodage réponses Es'!BO2</f>
        <v>1-0-9</v>
      </c>
      <c r="DT3" s="214" t="str">
        <f>'Encodage réponses Es'!BP2</f>
        <v>1-0-9</v>
      </c>
      <c r="DU3" s="369"/>
      <c r="DV3" s="377"/>
    </row>
    <row r="4" spans="1:126" ht="11.25" customHeight="1">
      <c r="A4" s="392">
        <f>IF('Encodage réponses Es'!A3="","",'Encodage réponses Es'!A3)</f>
      </c>
      <c r="B4" s="393"/>
      <c r="C4" s="277">
        <f>IF('Encodage réponses Es'!C3="","",'Encodage réponses Es'!C3)</f>
        <v>1</v>
      </c>
      <c r="D4" s="340"/>
      <c r="E4" s="291">
        <f>IF(OR(J4="",L4="",N4="",P4=""),"",J4+L4+N4+P4)</f>
      </c>
      <c r="F4" s="290">
        <f>IF(E4="","",E4/0.8)</f>
      </c>
      <c r="G4" s="322"/>
      <c r="H4" s="291">
        <f>IF(F4="","",IF(F4&lt;37,"sous le niveau 1",IF(F4&lt;58,"niveau 1",IF(F4&lt;79,"niveau 2",IF(F4&lt;90,"niveau 3","niveau 4")))))</f>
      </c>
      <c r="I4" s="29"/>
      <c r="J4" s="291">
        <f>IF(OR(AQ4="",BI4=""),"",AQ4+BI4)</f>
      </c>
      <c r="K4" s="290">
        <f>IF(J4="","",J4/0.31)</f>
      </c>
      <c r="L4" s="291">
        <f>IF(OR(BP4="",BW4="",BX4="",CA4="",CH4=""),"",BP4+BW4+CA4+CH4+BX4/2)</f>
      </c>
      <c r="M4" s="290">
        <f>IF(L4="","",L4/0.16)</f>
      </c>
      <c r="N4" s="291">
        <f>IF(OR(CV4="",DE4=""),"",CV4+DE4)</f>
      </c>
      <c r="O4" s="290">
        <f>IF(N4="","",N4/0.19)</f>
      </c>
      <c r="P4" s="291">
        <f>IF(DU4="","",Résultats!DU4)</f>
      </c>
      <c r="Q4" s="292">
        <f>IF(P4="","",P4/0.14)</f>
      </c>
      <c r="R4" s="181"/>
      <c r="S4" s="284"/>
      <c r="T4" s="238">
        <f>IF('Encodage réponses Es'!E3="","",'Encodage réponses Es'!E3)</f>
      </c>
      <c r="U4" s="237">
        <f>IF('Encodage réponses Es'!F3="","",'Encodage réponses Es'!F3)</f>
      </c>
      <c r="V4" s="237">
        <f>IF('Encodage réponses Es'!G3="","",'Encodage réponses Es'!G3)</f>
      </c>
      <c r="W4" s="358">
        <f>IF(OR(COUNTIF(T4:V4,"a")&gt;0),"",IF(COUNTBLANK(T4:V4)&gt;0,"",COUNTIF(T4:V4,1)))</f>
      </c>
      <c r="X4" s="359"/>
      <c r="Y4" s="167">
        <f>IF('Encodage réponses Es'!H3="","",'Encodage réponses Es'!H3)</f>
      </c>
      <c r="Z4" s="167">
        <f>IF('Encodage réponses Es'!I3="","",'Encodage réponses Es'!I3)</f>
      </c>
      <c r="AA4" s="167">
        <f>IF('Encodage réponses Es'!J3="","",'Encodage réponses Es'!J3)</f>
      </c>
      <c r="AB4" s="167">
        <f>IF('Encodage réponses Es'!K3="","",'Encodage réponses Es'!K3)</f>
      </c>
      <c r="AC4" s="167">
        <f>IF('Encodage réponses Es'!L3="","",'Encodage réponses Es'!L3)</f>
      </c>
      <c r="AD4" s="167">
        <f>IF('Encodage réponses Es'!Q3="","",'Encodage réponses Es'!Q3)</f>
      </c>
      <c r="AE4" s="167">
        <f>IF('Encodage réponses Es'!R3="","",'Encodage réponses Es'!R3)</f>
      </c>
      <c r="AF4" s="167">
        <f>IF('Encodage réponses Es'!S3="","",'Encodage réponses Es'!S3)</f>
      </c>
      <c r="AG4" s="167">
        <f>IF('Encodage réponses Es'!T3="","",'Encodage réponses Es'!T3)</f>
      </c>
      <c r="AH4" s="167">
        <f>IF('Encodage réponses Es'!U3="","",'Encodage réponses Es'!U3)</f>
      </c>
      <c r="AI4" s="167">
        <f>IF('Encodage réponses Es'!V3="","",'Encodage réponses Es'!V3)</f>
      </c>
      <c r="AJ4" s="167">
        <f>IF('Encodage réponses Es'!W3="","",'Encodage réponses Es'!W3)</f>
      </c>
      <c r="AK4" s="167">
        <f>IF('Encodage réponses Es'!X3="","",'Encodage réponses Es'!X3)</f>
      </c>
      <c r="AL4" s="167">
        <f>IF('Encodage réponses Es'!Y3="","",'Encodage réponses Es'!Y3)</f>
      </c>
      <c r="AM4" s="167">
        <f>IF('Encodage réponses Es'!Z3="","",'Encodage réponses Es'!Z3)</f>
      </c>
      <c r="AN4" s="167">
        <f>IF('Encodage réponses Es'!AA3="","",'Encodage réponses Es'!AA3)</f>
      </c>
      <c r="AO4" s="358">
        <f>IF(OR(COUNTIF(Y4:AN4,"a")&gt;0),"",IF(COUNTBLANK(Y4:AN4)&gt;0,"",COUNTIF(Y4:AN4,1)))</f>
      </c>
      <c r="AP4" s="359"/>
      <c r="AQ4" s="55">
        <f aca="true" t="shared" si="0" ref="AQ4:AQ16">IF(OR(W4="",AO4="",W4="a",AO4="a"),"",W4+AO4)</f>
      </c>
      <c r="AR4" s="55">
        <f>IF(AQ4="","",AQ4/0.19)</f>
      </c>
      <c r="AS4" s="238">
        <f>IF('Encodage réponses Es'!M3="","",'Encodage réponses Es'!M3)</f>
      </c>
      <c r="AT4" s="167">
        <f>IF('Encodage réponses Es'!N3="","",'Encodage réponses Es'!N3)</f>
      </c>
      <c r="AU4" s="167">
        <f>IF('Encodage réponses Es'!O3="","",'Encodage réponses Es'!O3)</f>
      </c>
      <c r="AV4" s="167">
        <f>IF('Encodage réponses Es'!P3="","",'Encodage réponses Es'!P3)</f>
      </c>
      <c r="AW4" s="358">
        <f>IF(OR(COUNTIF(AS4:AV4,"a")&gt;0),"",IF(COUNTBLANK(AS4:AV4)&gt;0,"",COUNTIF(AS4:AV4,1)))</f>
      </c>
      <c r="AX4" s="359"/>
      <c r="AY4" s="167">
        <f>IF('Encodage réponses Es'!AB3="","",'Encodage réponses Es'!AB3)</f>
      </c>
      <c r="AZ4" s="167">
        <f>IF('Encodage réponses Es'!AC3="","",'Encodage réponses Es'!AC3)</f>
      </c>
      <c r="BA4" s="167">
        <f>IF('Encodage réponses Es'!AD3="","",'Encodage réponses Es'!AD3)</f>
      </c>
      <c r="BB4" s="167">
        <f>IF('Encodage réponses Es'!AE3="","",'Encodage réponses Es'!AE3)</f>
      </c>
      <c r="BC4" s="167">
        <f>IF('Encodage réponses Es'!AF3="","",'Encodage réponses Es'!AF3)</f>
      </c>
      <c r="BD4" s="167">
        <f>IF('Encodage réponses Es'!AG3="","",'Encodage réponses Es'!AG3)</f>
      </c>
      <c r="BE4" s="167">
        <f>IF('Encodage réponses Es'!AH3="","",'Encodage réponses Es'!AH3)</f>
      </c>
      <c r="BF4" s="167">
        <f>IF('Encodage réponses Es'!AI3="","",'Encodage réponses Es'!AI3)</f>
      </c>
      <c r="BG4" s="55">
        <f>IF(OR(COUNTIF(AY4:BF4,"a")&gt;0),"",IF(COUNTBLANK(AY4:BF4)&gt;0,"",COUNTIF(AY4:BF4,1)))</f>
      </c>
      <c r="BH4" s="220">
        <f>IF(OR(COUNTIF(AY4:BF4,"a")&gt;0),"",IF(COUNTBLANK(AY4:BF4)&gt;0,"",COUNTIF(AY4:BF4,8)))</f>
      </c>
      <c r="BI4" s="150">
        <f>IF(OR(AW4="",BG4="",BH4="",AW4="a",BG4="a",BH4="a"),"",AW4+BG4+(BH4)/2)</f>
      </c>
      <c r="BJ4" s="54">
        <f>IF(BI4="","",BI4/0.12)</f>
      </c>
      <c r="BK4" s="167">
        <f>IF('Encodage réponses Es'!BQ3="","",'Encodage réponses Es'!BQ3)</f>
      </c>
      <c r="BL4" s="167">
        <f>IF('Encodage réponses Es'!BR3="","",'Encodage réponses Es'!BR3)</f>
      </c>
      <c r="BM4" s="167">
        <f>IF('Encodage réponses Es'!BS3="","",'Encodage réponses Es'!BS3)</f>
      </c>
      <c r="BN4" s="167">
        <f>IF('Encodage réponses Es'!BT3="","",'Encodage réponses Es'!BT3)</f>
      </c>
      <c r="BO4" s="289"/>
      <c r="BP4" s="358">
        <f>IF(OR(COUNTIF(BK4:BO4,"a")&gt;0),"",IF(COUNTBLANK(BK4:BN4)&gt;0,"",COUNTIF(BK4:BN4,1)))</f>
      </c>
      <c r="BQ4" s="359"/>
      <c r="BR4" s="167">
        <f>IF('Encodage réponses Es'!BV3="","",'Encodage réponses Es'!BV3)</f>
      </c>
      <c r="BS4" s="167">
        <f>IF('Encodage réponses Es'!BW3="","",'Encodage réponses Es'!BW3)</f>
      </c>
      <c r="BT4" s="167">
        <f>IF('Encodage réponses Es'!BX3="","",'Encodage réponses Es'!BX3)</f>
      </c>
      <c r="BU4" s="167">
        <f>IF('Encodage réponses Es'!BY3="","",'Encodage réponses Es'!BY3)</f>
      </c>
      <c r="BV4" s="167">
        <f>IF('Encodage réponses Es'!BZ3="","",'Encodage réponses Es'!BZ3)</f>
      </c>
      <c r="BW4" s="240">
        <f>IF(OR(COUNTIF(BR4:BV4,"a")&gt;0),"",IF(COUNTBLANK(BR4:BV4)&gt;0,"",COUNTIF(BR4:BV4,1)))</f>
      </c>
      <c r="BX4" s="220">
        <f>IF(OR(COUNTIF(BR4:BV4,"a")&gt;0),"",IF(COUNTBLANK(BR4:BV4)&gt;0,"",COUNTIF(BR4:BV4,8)))</f>
      </c>
      <c r="BY4" s="167">
        <f>IF('Encodage réponses Es'!CF3="","",'Encodage réponses Es'!CF3)</f>
      </c>
      <c r="BZ4" s="167">
        <f>IF('Encodage réponses Es'!CG3="","",'Encodage réponses Es'!CG3)</f>
      </c>
      <c r="CA4" s="358">
        <f>IF(OR(COUNTIF(BY4:BZ4,"a")&gt;0),"",IF(COUNTBLANK(BY4:BZ4)&gt;0,"",COUNTIF(BY4:BZ4,1)))</f>
      </c>
      <c r="CB4" s="359"/>
      <c r="CC4" s="167">
        <f>IF('Encodage réponses Es'!CA3="","",'Encodage réponses Es'!CA3)</f>
      </c>
      <c r="CD4" s="167">
        <f>IF('Encodage réponses Es'!CB3="","",'Encodage réponses Es'!CB3)</f>
      </c>
      <c r="CE4" s="167">
        <f>IF('Encodage réponses Es'!CC3="","",'Encodage réponses Es'!CC3)</f>
      </c>
      <c r="CF4" s="167">
        <f>IF('Encodage réponses Es'!CD3="","",'Encodage réponses Es'!CD3)</f>
      </c>
      <c r="CG4" s="167">
        <f>IF('Encodage réponses Es'!CE3="","",'Encodage réponses Es'!CE3)</f>
      </c>
      <c r="CH4" s="332">
        <f>IF(OR(COUNTIF(CC4:CG4,"a")&gt;0),"",IF(COUNTBLANK(CC4:CG4)&gt;0,"",COUNTIF(CC4:CG4,1)))</f>
      </c>
      <c r="CI4" s="333"/>
      <c r="CJ4" s="167">
        <f>IF('Encodage réponses Es'!AJ3="","",'Encodage réponses Es'!AJ3)</f>
      </c>
      <c r="CK4" s="167">
        <f>IF('Encodage réponses Es'!AK3="","",'Encodage réponses Es'!AK3)</f>
      </c>
      <c r="CL4" s="167">
        <f>IF('Encodage réponses Es'!AL3="","",'Encodage réponses Es'!AL3)</f>
      </c>
      <c r="CM4" s="167">
        <f>IF('Encodage réponses Es'!AM3="","",'Encodage réponses Es'!AM3)</f>
      </c>
      <c r="CN4" s="167">
        <f>IF('Encodage réponses Es'!AN3="","",'Encodage réponses Es'!AN3)</f>
      </c>
      <c r="CO4" s="167">
        <f>IF('Encodage réponses Es'!AO3="","",'Encodage réponses Es'!AO3)</f>
      </c>
      <c r="CP4" s="167">
        <f>IF('Encodage réponses Es'!AP3="","",'Encodage réponses Es'!AP3)</f>
      </c>
      <c r="CQ4" s="167">
        <f>IF('Encodage réponses Es'!AQ3="","",'Encodage réponses Es'!AQ3)</f>
      </c>
      <c r="CR4" s="167">
        <f>IF('Encodage réponses Es'!AR3="","",'Encodage réponses Es'!AR3)</f>
      </c>
      <c r="CS4" s="167">
        <f>IF('Encodage réponses Es'!AS3="","",'Encodage réponses Es'!AS3)</f>
      </c>
      <c r="CT4" s="167">
        <f>IF('Encodage réponses Es'!AT3="","",'Encodage réponses Es'!AT3)</f>
      </c>
      <c r="CU4" s="167">
        <f>IF('Encodage réponses Es'!AU3="","",'Encodage réponses Es'!AU3)</f>
      </c>
      <c r="CV4" s="358">
        <f>IF(OR(COUNTIF(CJ4:CU4,"a")&gt;0),"",IF(COUNTBLANK(CJ4:CU4)&gt;0,"",COUNTIF(CJ4:CU4,1)))</f>
      </c>
      <c r="CW4" s="359"/>
      <c r="CX4" s="167">
        <f>IF('Encodage réponses Es'!AV3="","",'Encodage réponses Es'!AV3)</f>
      </c>
      <c r="CY4" s="167">
        <f>IF('Encodage réponses Es'!AW3="","",'Encodage réponses Es'!AW3)</f>
      </c>
      <c r="CZ4" s="167">
        <f>IF('Encodage réponses Es'!AX3="","",'Encodage réponses Es'!AX3)</f>
      </c>
      <c r="DA4" s="167">
        <f>IF('Encodage réponses Es'!AY3="","",'Encodage réponses Es'!AY3)</f>
      </c>
      <c r="DB4" s="167">
        <f>IF('Encodage réponses Es'!AZ3="","",'Encodage réponses Es'!AZ3)</f>
      </c>
      <c r="DC4" s="167">
        <f>IF('Encodage réponses Es'!BA3="","",'Encodage réponses Es'!BA3)</f>
      </c>
      <c r="DD4" s="167">
        <f>IF('Encodage réponses Es'!BB3="","",'Encodage réponses Es'!BB3)</f>
      </c>
      <c r="DE4" s="358">
        <f>IF(OR(COUNTIF(CX4:DD4,"a")&gt;0),"",IF(COUNTBLANK(CX4:DD4)&gt;0,"",COUNTIF(CX4:DD4,1)))</f>
      </c>
      <c r="DF4" s="359"/>
      <c r="DG4" s="167">
        <f>IF('Encodage réponses Es'!BC3="","",'Encodage réponses Es'!BC3)</f>
      </c>
      <c r="DH4" s="167">
        <f>IF('Encodage réponses Es'!BD3="","",'Encodage réponses Es'!BD3)</f>
      </c>
      <c r="DI4" s="167">
        <f>IF('Encodage réponses Es'!BE3="","",'Encodage réponses Es'!BE3)</f>
      </c>
      <c r="DJ4" s="167">
        <f>IF('Encodage réponses Es'!BF3="","",'Encodage réponses Es'!BF3)</f>
      </c>
      <c r="DK4" s="167">
        <f>IF('Encodage réponses Es'!BG3="","",'Encodage réponses Es'!BG3)</f>
      </c>
      <c r="DL4" s="167">
        <f>IF('Encodage réponses Es'!BH3="","",'Encodage réponses Es'!BH3)</f>
      </c>
      <c r="DM4" s="167">
        <f>IF('Encodage réponses Es'!BI3="","",'Encodage réponses Es'!BI3)</f>
      </c>
      <c r="DN4" s="167">
        <f>IF('Encodage réponses Es'!BJ3="","",'Encodage réponses Es'!BJ3)</f>
      </c>
      <c r="DO4" s="167">
        <f>IF('Encodage réponses Es'!BK3="","",'Encodage réponses Es'!BK3)</f>
      </c>
      <c r="DP4" s="167">
        <f>IF('Encodage réponses Es'!BL3="","",'Encodage réponses Es'!BL3)</f>
      </c>
      <c r="DQ4" s="167">
        <f>IF('Encodage réponses Es'!BM3="","",'Encodage réponses Es'!BM3)</f>
      </c>
      <c r="DR4" s="167">
        <f>IF('Encodage réponses Es'!BN3="","",'Encodage réponses Es'!BN3)</f>
      </c>
      <c r="DS4" s="167">
        <f>IF('Encodage réponses Es'!BO3="","",'Encodage réponses Es'!BO3)</f>
      </c>
      <c r="DT4" s="167">
        <f>IF('Encodage réponses Es'!BP3="","",'Encodage réponses Es'!BP3)</f>
      </c>
      <c r="DU4" s="332">
        <f>IF(OR(COUNTIF(DG4:DT4,"a")&gt;0),"",IF(COUNTBLANK(DG4:DT4)&gt;0,"",COUNTIF(DG4:DT4,1)))</f>
      </c>
      <c r="DV4" s="333"/>
    </row>
    <row r="5" spans="1:126" ht="11.25" customHeight="1">
      <c r="A5" s="181"/>
      <c r="B5"/>
      <c r="C5" s="278">
        <f>IF('Encodage réponses Es'!C4="","",'Encodage réponses Es'!C4)</f>
        <v>2</v>
      </c>
      <c r="D5" s="340"/>
      <c r="E5" s="291">
        <f aca="true" t="shared" si="1" ref="E5:E37">IF(OR(J5="",L5="",N5="",P5=""),"",J5+L5+N5+P5)</f>
      </c>
      <c r="F5" s="290">
        <f aca="true" t="shared" si="2" ref="F5:F37">IF(E5="","",E5/0.8)</f>
      </c>
      <c r="G5" s="322"/>
      <c r="H5" s="291">
        <f aca="true" t="shared" si="3" ref="H5:H37">IF(F5="","",IF(F5&lt;37,"sous le niveau 1",IF(F5&lt;58,"niveau 1",IF(F5&lt;79,"niveau 2",IF(F5&lt;90,"niveau 3","niveau 4")))))</f>
      </c>
      <c r="I5" s="29"/>
      <c r="J5" s="291">
        <f aca="true" t="shared" si="4" ref="J5:J37">IF(OR(AQ5="",BI5=""),"",AQ5+BI5)</f>
      </c>
      <c r="K5" s="290">
        <f aca="true" t="shared" si="5" ref="K5:K37">IF(J5="","",J5/0.31)</f>
      </c>
      <c r="L5" s="291">
        <f aca="true" t="shared" si="6" ref="L5:L37">IF(OR(BP5="",BW5="",BX5="",CA5="",CH5=""),"",BP5+BW5+CA5+CH5+BX5/2)</f>
      </c>
      <c r="M5" s="290">
        <f aca="true" t="shared" si="7" ref="M5:M37">IF(L5="","",L5/0.16)</f>
      </c>
      <c r="N5" s="291">
        <f aca="true" t="shared" si="8" ref="N5:N37">IF(OR(CV5="",DE5=""),"",CV5+DE5)</f>
      </c>
      <c r="O5" s="290">
        <f aca="true" t="shared" si="9" ref="O5:O37">IF(N5="","",N5/0.19)</f>
      </c>
      <c r="P5" s="291">
        <f>IF(DU5="","",Résultats!DU5)</f>
      </c>
      <c r="Q5" s="292">
        <f aca="true" t="shared" si="10" ref="Q5:Q37">IF(P5="","",P5/0.14)</f>
      </c>
      <c r="R5" s="181"/>
      <c r="S5" s="284"/>
      <c r="T5" s="186">
        <f>IF('Encodage réponses Es'!E4="","",'Encodage réponses Es'!E4)</f>
      </c>
      <c r="U5" s="100">
        <f>IF('Encodage réponses Es'!J4="","",'Encodage réponses Es'!J4)</f>
      </c>
      <c r="V5" s="100">
        <f>IF('Encodage réponses Es'!AP4="","",'Encodage réponses Es'!AP4)</f>
      </c>
      <c r="W5" s="358">
        <f aca="true" t="shared" si="11" ref="W5:W37">IF(OR(COUNTIF(T5:V5,"a")&gt;0),"",IF(COUNTBLANK(T5:V5)&gt;0,"",COUNTIF(T5:V5,1)))</f>
      </c>
      <c r="X5" s="359"/>
      <c r="Y5" s="167">
        <f>IF('Encodage réponses Es'!H4="","",'Encodage réponses Es'!H4)</f>
      </c>
      <c r="Z5" s="167">
        <f>IF('Encodage réponses Es'!I4="","",'Encodage réponses Es'!I4)</f>
      </c>
      <c r="AA5" s="167">
        <f>IF('Encodage réponses Es'!J4="","",'Encodage réponses Es'!J4)</f>
      </c>
      <c r="AB5" s="167">
        <f>IF('Encodage réponses Es'!K4="","",'Encodage réponses Es'!K4)</f>
      </c>
      <c r="AC5" s="167">
        <f>IF('Encodage réponses Es'!L4="","",'Encodage réponses Es'!L4)</f>
      </c>
      <c r="AD5" s="167">
        <f>IF('Encodage réponses Es'!Q4="","",'Encodage réponses Es'!Q4)</f>
      </c>
      <c r="AE5" s="167">
        <f>IF('Encodage réponses Es'!R4="","",'Encodage réponses Es'!R4)</f>
      </c>
      <c r="AF5" s="167">
        <f>IF('Encodage réponses Es'!S4="","",'Encodage réponses Es'!S4)</f>
      </c>
      <c r="AG5" s="167">
        <f>IF('Encodage réponses Es'!T4="","",'Encodage réponses Es'!T4)</f>
      </c>
      <c r="AH5" s="167">
        <f>IF('Encodage réponses Es'!U4="","",'Encodage réponses Es'!U4)</f>
      </c>
      <c r="AI5" s="167">
        <f>IF('Encodage réponses Es'!V4="","",'Encodage réponses Es'!V4)</f>
      </c>
      <c r="AJ5" s="167">
        <f>IF('Encodage réponses Es'!W4="","",'Encodage réponses Es'!W4)</f>
      </c>
      <c r="AK5" s="167">
        <f>IF('Encodage réponses Es'!X4="","",'Encodage réponses Es'!X4)</f>
      </c>
      <c r="AL5" s="167">
        <f>IF('Encodage réponses Es'!Y4="","",'Encodage réponses Es'!Y4)</f>
      </c>
      <c r="AM5" s="167">
        <f>IF('Encodage réponses Es'!Z4="","",'Encodage réponses Es'!Z4)</f>
      </c>
      <c r="AN5" s="167">
        <f>IF('Encodage réponses Es'!AA4="","",'Encodage réponses Es'!AA4)</f>
      </c>
      <c r="AO5" s="358">
        <f aca="true" t="shared" si="12" ref="AO5:AO37">IF(OR(COUNTIF(Y5:AN5,"a")&gt;0),"",IF(COUNTBLANK(Y5:AN5)&gt;0,"",COUNTIF(Y5:AN5,1)))</f>
      </c>
      <c r="AP5" s="359"/>
      <c r="AQ5" s="55">
        <f t="shared" si="0"/>
      </c>
      <c r="AR5" s="55">
        <f aca="true" t="shared" si="13" ref="AR5:AR37">IF(AQ5="","",AQ5/0.19)</f>
      </c>
      <c r="AS5" s="241">
        <f>IF('Encodage réponses Es'!M4="","",'Encodage réponses Es'!M4)</f>
      </c>
      <c r="AT5" s="167">
        <f>IF('Encodage réponses Es'!N4="","",'Encodage réponses Es'!N4)</f>
      </c>
      <c r="AU5" s="167">
        <f>IF('Encodage réponses Es'!O4="","",'Encodage réponses Es'!O4)</f>
      </c>
      <c r="AV5" s="167">
        <f>IF('Encodage réponses Es'!P4="","",'Encodage réponses Es'!P4)</f>
      </c>
      <c r="AW5" s="358">
        <f aca="true" t="shared" si="14" ref="AW5:AW37">IF(OR(COUNTIF(AS5:AV5,"a")&gt;0),"",IF(COUNTBLANK(AS5:AV5)&gt;0,"",COUNTIF(AS5:AV5,1)))</f>
      </c>
      <c r="AX5" s="359"/>
      <c r="AY5" s="167">
        <f>IF('Encodage réponses Es'!AB4="","",'Encodage réponses Es'!AB4)</f>
      </c>
      <c r="AZ5" s="167">
        <f>IF('Encodage réponses Es'!AC4="","",'Encodage réponses Es'!AC4)</f>
      </c>
      <c r="BA5" s="167">
        <f>IF('Encodage réponses Es'!AD4="","",'Encodage réponses Es'!AD4)</f>
      </c>
      <c r="BB5" s="167">
        <f>IF('Encodage réponses Es'!AE4="","",'Encodage réponses Es'!AE4)</f>
      </c>
      <c r="BC5" s="167">
        <f>IF('Encodage réponses Es'!AF4="","",'Encodage réponses Es'!AF4)</f>
      </c>
      <c r="BD5" s="167">
        <f>IF('Encodage réponses Es'!AG4="","",'Encodage réponses Es'!AG4)</f>
      </c>
      <c r="BE5" s="167">
        <f>IF('Encodage réponses Es'!AH4="","",'Encodage réponses Es'!AH4)</f>
      </c>
      <c r="BF5" s="167">
        <f>IF('Encodage réponses Es'!AI4="","",'Encodage réponses Es'!AI4)</f>
      </c>
      <c r="BG5" s="55">
        <f aca="true" t="shared" si="15" ref="BG5:BG37">IF(OR(COUNTIF(AY5:BF5,"a")&gt;0),"",IF(COUNTBLANK(AY5:BF5)&gt;0,"",COUNTIF(AY5:BF5,1)))</f>
      </c>
      <c r="BH5" s="221">
        <f aca="true" t="shared" si="16" ref="BH5:BH37">IF(OR(COUNTIF(AY5:BF5,"a")&gt;0),"",IF(COUNTBLANK(AY5:BF5)&gt;0,"",COUNTIF(AY5:BF5,8)))</f>
      </c>
      <c r="BI5" s="150">
        <f aca="true" t="shared" si="17" ref="BI5:BI37">IF(OR(AW5="",BG5="",BH5="",AW5="a",BG5="a",BH5="a"),"",AW5+BG5+(BH5)/2)</f>
      </c>
      <c r="BJ5" s="54">
        <f aca="true" t="shared" si="18" ref="BJ5:BJ37">IF(BI5="","",BI5/0.12)</f>
      </c>
      <c r="BK5" s="167">
        <f>IF('Encodage réponses Es'!BQ4="","",'Encodage réponses Es'!BQ4)</f>
      </c>
      <c r="BL5" s="167">
        <f>IF('Encodage réponses Es'!BR4="","",'Encodage réponses Es'!BR4)</f>
      </c>
      <c r="BM5" s="167">
        <f>IF('Encodage réponses Es'!BS4="","",'Encodage réponses Es'!BS4)</f>
      </c>
      <c r="BN5" s="167">
        <f>IF('Encodage réponses Es'!BT4="","",'Encodage réponses Es'!BT4)</f>
      </c>
      <c r="BO5" s="289"/>
      <c r="BP5" s="358">
        <f aca="true" t="shared" si="19" ref="BP5:BP37">IF(OR(COUNTIF(BK5:BO5,"a")&gt;0),"",IF(COUNTBLANK(BK5:BN5)&gt;0,"",COUNTIF(BK5:BN5,1)))</f>
      </c>
      <c r="BQ5" s="359"/>
      <c r="BR5" s="167">
        <f>IF('Encodage réponses Es'!BV4="","",'Encodage réponses Es'!BV4)</f>
      </c>
      <c r="BS5" s="167">
        <f>IF('Encodage réponses Es'!BW4="","",'Encodage réponses Es'!BW4)</f>
      </c>
      <c r="BT5" s="167">
        <f>IF('Encodage réponses Es'!BX4="","",'Encodage réponses Es'!BX4)</f>
      </c>
      <c r="BU5" s="167">
        <f>IF('Encodage réponses Es'!BY4="","",'Encodage réponses Es'!BY4)</f>
      </c>
      <c r="BV5" s="167">
        <f>IF('Encodage réponses Es'!BZ4="","",'Encodage réponses Es'!BZ4)</f>
      </c>
      <c r="BW5" s="251">
        <f aca="true" t="shared" si="20" ref="BW5:BW37">IF(OR(COUNTIF(BR5:BV5,"a")&gt;0),"",IF(COUNTBLANK(BR5:BV5)&gt;0,"",COUNTIF(BR5:BV5,1)))</f>
      </c>
      <c r="BX5" s="221">
        <f aca="true" t="shared" si="21" ref="BX5:BX37">IF(OR(COUNTIF(BR5:BV5,"a")&gt;0),"",IF(COUNTBLANK(BR5:BV5)&gt;0,"",COUNTIF(BR5:BV5,8)))</f>
      </c>
      <c r="BY5" s="167">
        <f>IF('Encodage réponses Es'!CF4="","",'Encodage réponses Es'!CF4)</f>
      </c>
      <c r="BZ5" s="167">
        <f>IF('Encodage réponses Es'!CG4="","",'Encodage réponses Es'!CG4)</f>
      </c>
      <c r="CA5" s="358">
        <f aca="true" t="shared" si="22" ref="CA5:CA37">IF(OR(COUNTIF(BY5:BZ5,"a")&gt;0),"",IF(COUNTBLANK(BY5:BZ5)&gt;0,"",COUNTIF(BY5:BZ5,1)))</f>
      </c>
      <c r="CB5" s="359"/>
      <c r="CC5" s="167">
        <f>IF('Encodage réponses Es'!CA4="","",'Encodage réponses Es'!CA4)</f>
      </c>
      <c r="CD5" s="167">
        <f>IF('Encodage réponses Es'!CB4="","",'Encodage réponses Es'!CB4)</f>
      </c>
      <c r="CE5" s="167">
        <f>IF('Encodage réponses Es'!CC4="","",'Encodage réponses Es'!CC4)</f>
      </c>
      <c r="CF5" s="167">
        <f>IF('Encodage réponses Es'!CD4="","",'Encodage réponses Es'!CD4)</f>
      </c>
      <c r="CG5" s="167">
        <f>IF('Encodage réponses Es'!CE4="","",'Encodage réponses Es'!CE4)</f>
      </c>
      <c r="CH5" s="330">
        <f aca="true" t="shared" si="23" ref="CH5:CH37">IF(OR(COUNTIF(CC5:CG5,"a")&gt;0),"",IF(COUNTBLANK(CC5:CG5)&gt;0,"",COUNTIF(CC5:CG5,1)))</f>
      </c>
      <c r="CI5" s="331"/>
      <c r="CJ5" s="167">
        <f>IF('Encodage réponses Es'!AJ4="","",'Encodage réponses Es'!AJ4)</f>
      </c>
      <c r="CK5" s="167">
        <f>IF('Encodage réponses Es'!AK4="","",'Encodage réponses Es'!AK4)</f>
      </c>
      <c r="CL5" s="167">
        <f>IF('Encodage réponses Es'!AL4="","",'Encodage réponses Es'!AL4)</f>
      </c>
      <c r="CM5" s="167">
        <f>IF('Encodage réponses Es'!AM4="","",'Encodage réponses Es'!AM4)</f>
      </c>
      <c r="CN5" s="167">
        <f>IF('Encodage réponses Es'!AN4="","",'Encodage réponses Es'!AN4)</f>
      </c>
      <c r="CO5" s="167">
        <f>IF('Encodage réponses Es'!AO4="","",'Encodage réponses Es'!AO4)</f>
      </c>
      <c r="CP5" s="167">
        <f>IF('Encodage réponses Es'!AP4="","",'Encodage réponses Es'!AP4)</f>
      </c>
      <c r="CQ5" s="167">
        <f>IF('Encodage réponses Es'!AQ4="","",'Encodage réponses Es'!AQ4)</f>
      </c>
      <c r="CR5" s="167">
        <f>IF('Encodage réponses Es'!AR4="","",'Encodage réponses Es'!AR4)</f>
      </c>
      <c r="CS5" s="167">
        <f>IF('Encodage réponses Es'!AS4="","",'Encodage réponses Es'!AS4)</f>
      </c>
      <c r="CT5" s="167">
        <f>IF('Encodage réponses Es'!AT4="","",'Encodage réponses Es'!AT4)</f>
      </c>
      <c r="CU5" s="167">
        <f>IF('Encodage réponses Es'!AU4="","",'Encodage réponses Es'!AU4)</f>
      </c>
      <c r="CV5" s="358">
        <f aca="true" t="shared" si="24" ref="CV5:CV37">IF(OR(COUNTIF(CJ5:CU5,"a")&gt;0),"",IF(COUNTBLANK(CJ5:CU5)&gt;0,"",COUNTIF(CJ5:CU5,1)))</f>
      </c>
      <c r="CW5" s="359"/>
      <c r="CX5" s="167">
        <f>IF('Encodage réponses Es'!AV4="","",'Encodage réponses Es'!AV4)</f>
      </c>
      <c r="CY5" s="167">
        <f>IF('Encodage réponses Es'!AW4="","",'Encodage réponses Es'!AW4)</f>
      </c>
      <c r="CZ5" s="167">
        <f>IF('Encodage réponses Es'!AX4="","",'Encodage réponses Es'!AX4)</f>
      </c>
      <c r="DA5" s="167">
        <f>IF('Encodage réponses Es'!AY4="","",'Encodage réponses Es'!AY4)</f>
      </c>
      <c r="DB5" s="167">
        <f>IF('Encodage réponses Es'!AZ4="","",'Encodage réponses Es'!AZ4)</f>
      </c>
      <c r="DC5" s="167">
        <f>IF('Encodage réponses Es'!BA4="","",'Encodage réponses Es'!BA4)</f>
      </c>
      <c r="DD5" s="167">
        <f>IF('Encodage réponses Es'!BB4="","",'Encodage réponses Es'!BB4)</f>
      </c>
      <c r="DE5" s="358">
        <f aca="true" t="shared" si="25" ref="DE5:DE37">IF(OR(COUNTIF(CX5:DD5,"a")&gt;0),"",IF(COUNTBLANK(CX5:DD5)&gt;0,"",COUNTIF(CX5:DD5,1)))</f>
      </c>
      <c r="DF5" s="359"/>
      <c r="DG5" s="167">
        <f>IF('Encodage réponses Es'!BC4="","",'Encodage réponses Es'!BC4)</f>
      </c>
      <c r="DH5" s="167">
        <f>IF('Encodage réponses Es'!BD4="","",'Encodage réponses Es'!BD4)</f>
      </c>
      <c r="DI5" s="167">
        <f>IF('Encodage réponses Es'!BE4="","",'Encodage réponses Es'!BE4)</f>
      </c>
      <c r="DJ5" s="167">
        <f>IF('Encodage réponses Es'!BF4="","",'Encodage réponses Es'!BF4)</f>
      </c>
      <c r="DK5" s="167">
        <f>IF('Encodage réponses Es'!BG4="","",'Encodage réponses Es'!BG4)</f>
      </c>
      <c r="DL5" s="167">
        <f>IF('Encodage réponses Es'!BH4="","",'Encodage réponses Es'!BH4)</f>
      </c>
      <c r="DM5" s="167">
        <f>IF('Encodage réponses Es'!BI4="","",'Encodage réponses Es'!BI4)</f>
      </c>
      <c r="DN5" s="167">
        <f>IF('Encodage réponses Es'!BJ4="","",'Encodage réponses Es'!BJ4)</f>
      </c>
      <c r="DO5" s="167">
        <f>IF('Encodage réponses Es'!BK4="","",'Encodage réponses Es'!BK4)</f>
      </c>
      <c r="DP5" s="167">
        <f>IF('Encodage réponses Es'!BL4="","",'Encodage réponses Es'!BL4)</f>
      </c>
      <c r="DQ5" s="167">
        <f>IF('Encodage réponses Es'!BM4="","",'Encodage réponses Es'!BM4)</f>
      </c>
      <c r="DR5" s="167">
        <f>IF('Encodage réponses Es'!BN4="","",'Encodage réponses Es'!BN4)</f>
      </c>
      <c r="DS5" s="167">
        <f>IF('Encodage réponses Es'!BO4="","",'Encodage réponses Es'!BO4)</f>
      </c>
      <c r="DT5" s="167">
        <f>IF('Encodage réponses Es'!BP4="","",'Encodage réponses Es'!BP4)</f>
      </c>
      <c r="DU5" s="330">
        <f aca="true" t="shared" si="26" ref="DU5:DU37">IF(OR(COUNTIF(DG5:DT5,"a")&gt;0),"",IF(COUNTBLANK(DG5:DT5)&gt;0,"",COUNTIF(DG5:DT5,1)))</f>
      </c>
      <c r="DV5" s="331"/>
    </row>
    <row r="6" spans="1:126" ht="11.25" customHeight="1">
      <c r="A6" s="181"/>
      <c r="B6"/>
      <c r="C6" s="278">
        <f>IF('Encodage réponses Es'!C5="","",'Encodage réponses Es'!C5)</f>
        <v>3</v>
      </c>
      <c r="D6" s="340"/>
      <c r="E6" s="291">
        <f t="shared" si="1"/>
      </c>
      <c r="F6" s="290">
        <f t="shared" si="2"/>
      </c>
      <c r="G6" s="322"/>
      <c r="H6" s="291">
        <f t="shared" si="3"/>
      </c>
      <c r="I6" s="29"/>
      <c r="J6" s="291">
        <f t="shared" si="4"/>
      </c>
      <c r="K6" s="290">
        <f t="shared" si="5"/>
      </c>
      <c r="L6" s="291">
        <f t="shared" si="6"/>
      </c>
      <c r="M6" s="290">
        <f t="shared" si="7"/>
      </c>
      <c r="N6" s="291">
        <f t="shared" si="8"/>
      </c>
      <c r="O6" s="290">
        <f t="shared" si="9"/>
      </c>
      <c r="P6" s="291">
        <f>IF(DU6="","",Résultats!DU6)</f>
      </c>
      <c r="Q6" s="292">
        <f t="shared" si="10"/>
      </c>
      <c r="R6" s="181"/>
      <c r="S6" s="284"/>
      <c r="T6" s="186">
        <f>IF('Encodage réponses Es'!E5="","",'Encodage réponses Es'!E5)</f>
      </c>
      <c r="U6" s="100">
        <f>IF('Encodage réponses Es'!J5="","",'Encodage réponses Es'!J5)</f>
      </c>
      <c r="V6" s="100">
        <f>IF('Encodage réponses Es'!AP5="","",'Encodage réponses Es'!AP5)</f>
      </c>
      <c r="W6" s="358">
        <f t="shared" si="11"/>
      </c>
      <c r="X6" s="359"/>
      <c r="Y6" s="167">
        <f>IF('Encodage réponses Es'!H5="","",'Encodage réponses Es'!H5)</f>
      </c>
      <c r="Z6" s="167">
        <f>IF('Encodage réponses Es'!I5="","",'Encodage réponses Es'!I5)</f>
      </c>
      <c r="AA6" s="167">
        <f>IF('Encodage réponses Es'!J5="","",'Encodage réponses Es'!J5)</f>
      </c>
      <c r="AB6" s="167">
        <f>IF('Encodage réponses Es'!K5="","",'Encodage réponses Es'!K5)</f>
      </c>
      <c r="AC6" s="167">
        <f>IF('Encodage réponses Es'!L5="","",'Encodage réponses Es'!L5)</f>
      </c>
      <c r="AD6" s="167">
        <f>IF('Encodage réponses Es'!Q5="","",'Encodage réponses Es'!Q5)</f>
      </c>
      <c r="AE6" s="167">
        <f>IF('Encodage réponses Es'!R5="","",'Encodage réponses Es'!R5)</f>
      </c>
      <c r="AF6" s="167">
        <f>IF('Encodage réponses Es'!S5="","",'Encodage réponses Es'!S5)</f>
      </c>
      <c r="AG6" s="167">
        <f>IF('Encodage réponses Es'!T5="","",'Encodage réponses Es'!T5)</f>
      </c>
      <c r="AH6" s="167">
        <f>IF('Encodage réponses Es'!U5="","",'Encodage réponses Es'!U5)</f>
      </c>
      <c r="AI6" s="167">
        <f>IF('Encodage réponses Es'!V5="","",'Encodage réponses Es'!V5)</f>
      </c>
      <c r="AJ6" s="167">
        <f>IF('Encodage réponses Es'!W5="","",'Encodage réponses Es'!W5)</f>
      </c>
      <c r="AK6" s="167">
        <f>IF('Encodage réponses Es'!X5="","",'Encodage réponses Es'!X5)</f>
      </c>
      <c r="AL6" s="167">
        <f>IF('Encodage réponses Es'!Y5="","",'Encodage réponses Es'!Y5)</f>
      </c>
      <c r="AM6" s="167">
        <f>IF('Encodage réponses Es'!Z5="","",'Encodage réponses Es'!Z5)</f>
      </c>
      <c r="AN6" s="167">
        <f>IF('Encodage réponses Es'!AA5="","",'Encodage réponses Es'!AA5)</f>
      </c>
      <c r="AO6" s="358">
        <f t="shared" si="12"/>
      </c>
      <c r="AP6" s="359"/>
      <c r="AQ6" s="55">
        <f t="shared" si="0"/>
      </c>
      <c r="AR6" s="55">
        <f t="shared" si="13"/>
      </c>
      <c r="AS6" s="241">
        <f>IF('Encodage réponses Es'!M5="","",'Encodage réponses Es'!M5)</f>
      </c>
      <c r="AT6" s="167">
        <f>IF('Encodage réponses Es'!N5="","",'Encodage réponses Es'!N5)</f>
      </c>
      <c r="AU6" s="167">
        <f>IF('Encodage réponses Es'!O5="","",'Encodage réponses Es'!O5)</f>
      </c>
      <c r="AV6" s="167">
        <f>IF('Encodage réponses Es'!P5="","",'Encodage réponses Es'!P5)</f>
      </c>
      <c r="AW6" s="358">
        <f t="shared" si="14"/>
      </c>
      <c r="AX6" s="359"/>
      <c r="AY6" s="167">
        <f>IF('Encodage réponses Es'!AB5="","",'Encodage réponses Es'!AB5)</f>
      </c>
      <c r="AZ6" s="167">
        <f>IF('Encodage réponses Es'!AC5="","",'Encodage réponses Es'!AC5)</f>
      </c>
      <c r="BA6" s="167">
        <f>IF('Encodage réponses Es'!AD5="","",'Encodage réponses Es'!AD5)</f>
      </c>
      <c r="BB6" s="167">
        <f>IF('Encodage réponses Es'!AE5="","",'Encodage réponses Es'!AE5)</f>
      </c>
      <c r="BC6" s="167">
        <f>IF('Encodage réponses Es'!AF5="","",'Encodage réponses Es'!AF5)</f>
      </c>
      <c r="BD6" s="167">
        <f>IF('Encodage réponses Es'!AG5="","",'Encodage réponses Es'!AG5)</f>
      </c>
      <c r="BE6" s="167">
        <f>IF('Encodage réponses Es'!AH5="","",'Encodage réponses Es'!AH5)</f>
      </c>
      <c r="BF6" s="167">
        <f>IF('Encodage réponses Es'!AI5="","",'Encodage réponses Es'!AI5)</f>
      </c>
      <c r="BG6" s="55">
        <f t="shared" si="15"/>
      </c>
      <c r="BH6" s="221">
        <f t="shared" si="16"/>
      </c>
      <c r="BI6" s="150">
        <f t="shared" si="17"/>
      </c>
      <c r="BJ6" s="54">
        <f t="shared" si="18"/>
      </c>
      <c r="BK6" s="167">
        <f>IF('Encodage réponses Es'!BQ5="","",'Encodage réponses Es'!BQ5)</f>
      </c>
      <c r="BL6" s="167">
        <f>IF('Encodage réponses Es'!BR5="","",'Encodage réponses Es'!BR5)</f>
      </c>
      <c r="BM6" s="167">
        <f>IF('Encodage réponses Es'!BS5="","",'Encodage réponses Es'!BS5)</f>
      </c>
      <c r="BN6" s="167">
        <f>IF('Encodage réponses Es'!BT5="","",'Encodage réponses Es'!BT5)</f>
      </c>
      <c r="BO6" s="289"/>
      <c r="BP6" s="358">
        <f t="shared" si="19"/>
      </c>
      <c r="BQ6" s="359"/>
      <c r="BR6" s="167">
        <f>IF('Encodage réponses Es'!BV5="","",'Encodage réponses Es'!BV5)</f>
      </c>
      <c r="BS6" s="167">
        <f>IF('Encodage réponses Es'!BW5="","",'Encodage réponses Es'!BW5)</f>
      </c>
      <c r="BT6" s="167">
        <f>IF('Encodage réponses Es'!BX5="","",'Encodage réponses Es'!BX5)</f>
      </c>
      <c r="BU6" s="167">
        <f>IF('Encodage réponses Es'!BY5="","",'Encodage réponses Es'!BY5)</f>
      </c>
      <c r="BV6" s="167">
        <f>IF('Encodage réponses Es'!BZ5="","",'Encodage réponses Es'!BZ5)</f>
      </c>
      <c r="BW6" s="251">
        <f t="shared" si="20"/>
      </c>
      <c r="BX6" s="221">
        <f t="shared" si="21"/>
      </c>
      <c r="BY6" s="167">
        <f>IF('Encodage réponses Es'!CF5="","",'Encodage réponses Es'!CF5)</f>
      </c>
      <c r="BZ6" s="167">
        <f>IF('Encodage réponses Es'!CG5="","",'Encodage réponses Es'!CG5)</f>
      </c>
      <c r="CA6" s="358">
        <f t="shared" si="22"/>
      </c>
      <c r="CB6" s="359"/>
      <c r="CC6" s="167">
        <f>IF('Encodage réponses Es'!CA5="","",'Encodage réponses Es'!CA5)</f>
      </c>
      <c r="CD6" s="167">
        <f>IF('Encodage réponses Es'!CB5="","",'Encodage réponses Es'!CB5)</f>
      </c>
      <c r="CE6" s="167">
        <f>IF('Encodage réponses Es'!CC5="","",'Encodage réponses Es'!CC5)</f>
      </c>
      <c r="CF6" s="167">
        <f>IF('Encodage réponses Es'!CD5="","",'Encodage réponses Es'!CD5)</f>
      </c>
      <c r="CG6" s="167">
        <f>IF('Encodage réponses Es'!CE5="","",'Encodage réponses Es'!CE5)</f>
      </c>
      <c r="CH6" s="330">
        <f t="shared" si="23"/>
      </c>
      <c r="CI6" s="331"/>
      <c r="CJ6" s="167">
        <f>IF('Encodage réponses Es'!AJ5="","",'Encodage réponses Es'!AJ5)</f>
      </c>
      <c r="CK6" s="167">
        <f>IF('Encodage réponses Es'!AK5="","",'Encodage réponses Es'!AK5)</f>
      </c>
      <c r="CL6" s="167">
        <f>IF('Encodage réponses Es'!AL5="","",'Encodage réponses Es'!AL5)</f>
      </c>
      <c r="CM6" s="167">
        <f>IF('Encodage réponses Es'!AM5="","",'Encodage réponses Es'!AM5)</f>
      </c>
      <c r="CN6" s="167">
        <f>IF('Encodage réponses Es'!AN5="","",'Encodage réponses Es'!AN5)</f>
      </c>
      <c r="CO6" s="167">
        <f>IF('Encodage réponses Es'!AO5="","",'Encodage réponses Es'!AO5)</f>
      </c>
      <c r="CP6" s="167">
        <f>IF('Encodage réponses Es'!AP5="","",'Encodage réponses Es'!AP5)</f>
      </c>
      <c r="CQ6" s="167">
        <f>IF('Encodage réponses Es'!AQ5="","",'Encodage réponses Es'!AQ5)</f>
      </c>
      <c r="CR6" s="167">
        <f>IF('Encodage réponses Es'!AR5="","",'Encodage réponses Es'!AR5)</f>
      </c>
      <c r="CS6" s="167">
        <f>IF('Encodage réponses Es'!AS5="","",'Encodage réponses Es'!AS5)</f>
      </c>
      <c r="CT6" s="167">
        <f>IF('Encodage réponses Es'!AT5="","",'Encodage réponses Es'!AT5)</f>
      </c>
      <c r="CU6" s="167">
        <f>IF('Encodage réponses Es'!AU5="","",'Encodage réponses Es'!AU5)</f>
      </c>
      <c r="CV6" s="358">
        <f t="shared" si="24"/>
      </c>
      <c r="CW6" s="359"/>
      <c r="CX6" s="167">
        <f>IF('Encodage réponses Es'!AV5="","",'Encodage réponses Es'!AV5)</f>
      </c>
      <c r="CY6" s="167">
        <f>IF('Encodage réponses Es'!AW5="","",'Encodage réponses Es'!AW5)</f>
      </c>
      <c r="CZ6" s="167">
        <f>IF('Encodage réponses Es'!AX5="","",'Encodage réponses Es'!AX5)</f>
      </c>
      <c r="DA6" s="167">
        <f>IF('Encodage réponses Es'!AY5="","",'Encodage réponses Es'!AY5)</f>
      </c>
      <c r="DB6" s="167">
        <f>IF('Encodage réponses Es'!AZ5="","",'Encodage réponses Es'!AZ5)</f>
      </c>
      <c r="DC6" s="167">
        <f>IF('Encodage réponses Es'!BA5="","",'Encodage réponses Es'!BA5)</f>
      </c>
      <c r="DD6" s="167">
        <f>IF('Encodage réponses Es'!BB5="","",'Encodage réponses Es'!BB5)</f>
      </c>
      <c r="DE6" s="358">
        <f t="shared" si="25"/>
      </c>
      <c r="DF6" s="359"/>
      <c r="DG6" s="167">
        <f>IF('Encodage réponses Es'!BC5="","",'Encodage réponses Es'!BC5)</f>
      </c>
      <c r="DH6" s="167">
        <f>IF('Encodage réponses Es'!BD5="","",'Encodage réponses Es'!BD5)</f>
      </c>
      <c r="DI6" s="167">
        <f>IF('Encodage réponses Es'!BE5="","",'Encodage réponses Es'!BE5)</f>
      </c>
      <c r="DJ6" s="167">
        <f>IF('Encodage réponses Es'!BF5="","",'Encodage réponses Es'!BF5)</f>
      </c>
      <c r="DK6" s="167">
        <f>IF('Encodage réponses Es'!BG5="","",'Encodage réponses Es'!BG5)</f>
      </c>
      <c r="DL6" s="167">
        <f>IF('Encodage réponses Es'!BH5="","",'Encodage réponses Es'!BH5)</f>
      </c>
      <c r="DM6" s="167">
        <f>IF('Encodage réponses Es'!BI5="","",'Encodage réponses Es'!BI5)</f>
      </c>
      <c r="DN6" s="167">
        <f>IF('Encodage réponses Es'!BJ5="","",'Encodage réponses Es'!BJ5)</f>
      </c>
      <c r="DO6" s="167">
        <f>IF('Encodage réponses Es'!BK5="","",'Encodage réponses Es'!BK5)</f>
      </c>
      <c r="DP6" s="167">
        <f>IF('Encodage réponses Es'!BL5="","",'Encodage réponses Es'!BL5)</f>
      </c>
      <c r="DQ6" s="167">
        <f>IF('Encodage réponses Es'!BM5="","",'Encodage réponses Es'!BM5)</f>
      </c>
      <c r="DR6" s="167">
        <f>IF('Encodage réponses Es'!BN5="","",'Encodage réponses Es'!BN5)</f>
      </c>
      <c r="DS6" s="167">
        <f>IF('Encodage réponses Es'!BO5="","",'Encodage réponses Es'!BO5)</f>
      </c>
      <c r="DT6" s="167">
        <f>IF('Encodage réponses Es'!BP5="","",'Encodage réponses Es'!BP5)</f>
      </c>
      <c r="DU6" s="330">
        <f t="shared" si="26"/>
      </c>
      <c r="DV6" s="331"/>
    </row>
    <row r="7" spans="1:126" ht="11.25" customHeight="1">
      <c r="A7" s="181"/>
      <c r="B7"/>
      <c r="C7" s="278">
        <f>IF('Encodage réponses Es'!C6="","",'Encodage réponses Es'!C6)</f>
        <v>4</v>
      </c>
      <c r="D7" s="340"/>
      <c r="E7" s="291">
        <f t="shared" si="1"/>
      </c>
      <c r="F7" s="290">
        <f t="shared" si="2"/>
      </c>
      <c r="G7" s="322"/>
      <c r="H7" s="291">
        <f t="shared" si="3"/>
      </c>
      <c r="I7" s="29"/>
      <c r="J7" s="291">
        <f t="shared" si="4"/>
      </c>
      <c r="K7" s="290">
        <f t="shared" si="5"/>
      </c>
      <c r="L7" s="291">
        <f t="shared" si="6"/>
      </c>
      <c r="M7" s="290">
        <f t="shared" si="7"/>
      </c>
      <c r="N7" s="291">
        <f t="shared" si="8"/>
      </c>
      <c r="O7" s="290">
        <f t="shared" si="9"/>
      </c>
      <c r="P7" s="291">
        <f>IF(DU7="","",Résultats!DU7)</f>
      </c>
      <c r="Q7" s="292">
        <f t="shared" si="10"/>
      </c>
      <c r="R7" s="181"/>
      <c r="S7" s="284"/>
      <c r="T7" s="186">
        <f>IF('Encodage réponses Es'!E6="","",'Encodage réponses Es'!E6)</f>
      </c>
      <c r="U7" s="100">
        <f>IF('Encodage réponses Es'!J6="","",'Encodage réponses Es'!J6)</f>
      </c>
      <c r="V7" s="100">
        <f>IF('Encodage réponses Es'!AP6="","",'Encodage réponses Es'!AP6)</f>
      </c>
      <c r="W7" s="358">
        <f t="shared" si="11"/>
      </c>
      <c r="X7" s="359"/>
      <c r="Y7" s="167">
        <f>IF('Encodage réponses Es'!H6="","",'Encodage réponses Es'!H6)</f>
      </c>
      <c r="Z7" s="167">
        <f>IF('Encodage réponses Es'!I6="","",'Encodage réponses Es'!I6)</f>
      </c>
      <c r="AA7" s="167">
        <f>IF('Encodage réponses Es'!J6="","",'Encodage réponses Es'!J6)</f>
      </c>
      <c r="AB7" s="167">
        <f>IF('Encodage réponses Es'!K6="","",'Encodage réponses Es'!K6)</f>
      </c>
      <c r="AC7" s="167">
        <f>IF('Encodage réponses Es'!L6="","",'Encodage réponses Es'!L6)</f>
      </c>
      <c r="AD7" s="167">
        <f>IF('Encodage réponses Es'!Q6="","",'Encodage réponses Es'!Q6)</f>
      </c>
      <c r="AE7" s="167">
        <f>IF('Encodage réponses Es'!R6="","",'Encodage réponses Es'!R6)</f>
      </c>
      <c r="AF7" s="167">
        <f>IF('Encodage réponses Es'!S6="","",'Encodage réponses Es'!S6)</f>
      </c>
      <c r="AG7" s="167">
        <f>IF('Encodage réponses Es'!T6="","",'Encodage réponses Es'!T6)</f>
      </c>
      <c r="AH7" s="167">
        <f>IF('Encodage réponses Es'!U6="","",'Encodage réponses Es'!U6)</f>
      </c>
      <c r="AI7" s="167">
        <f>IF('Encodage réponses Es'!V6="","",'Encodage réponses Es'!V6)</f>
      </c>
      <c r="AJ7" s="167">
        <f>IF('Encodage réponses Es'!W6="","",'Encodage réponses Es'!W6)</f>
      </c>
      <c r="AK7" s="167">
        <f>IF('Encodage réponses Es'!X6="","",'Encodage réponses Es'!X6)</f>
      </c>
      <c r="AL7" s="167">
        <f>IF('Encodage réponses Es'!Y6="","",'Encodage réponses Es'!Y6)</f>
      </c>
      <c r="AM7" s="167">
        <f>IF('Encodage réponses Es'!Z6="","",'Encodage réponses Es'!Z6)</f>
      </c>
      <c r="AN7" s="167">
        <f>IF('Encodage réponses Es'!AA6="","",'Encodage réponses Es'!AA6)</f>
      </c>
      <c r="AO7" s="358">
        <f t="shared" si="12"/>
      </c>
      <c r="AP7" s="359"/>
      <c r="AQ7" s="55">
        <f t="shared" si="0"/>
      </c>
      <c r="AR7" s="55">
        <f t="shared" si="13"/>
      </c>
      <c r="AS7" s="241">
        <f>IF('Encodage réponses Es'!M6="","",'Encodage réponses Es'!M6)</f>
      </c>
      <c r="AT7" s="167">
        <f>IF('Encodage réponses Es'!N6="","",'Encodage réponses Es'!N6)</f>
      </c>
      <c r="AU7" s="167">
        <f>IF('Encodage réponses Es'!O6="","",'Encodage réponses Es'!O6)</f>
      </c>
      <c r="AV7" s="167">
        <f>IF('Encodage réponses Es'!P6="","",'Encodage réponses Es'!P6)</f>
      </c>
      <c r="AW7" s="358">
        <f t="shared" si="14"/>
      </c>
      <c r="AX7" s="359"/>
      <c r="AY7" s="167">
        <f>IF('Encodage réponses Es'!AB6="","",'Encodage réponses Es'!AB6)</f>
      </c>
      <c r="AZ7" s="167">
        <f>IF('Encodage réponses Es'!AC6="","",'Encodage réponses Es'!AC6)</f>
      </c>
      <c r="BA7" s="167">
        <f>IF('Encodage réponses Es'!AD6="","",'Encodage réponses Es'!AD6)</f>
      </c>
      <c r="BB7" s="167">
        <f>IF('Encodage réponses Es'!AE6="","",'Encodage réponses Es'!AE6)</f>
      </c>
      <c r="BC7" s="167">
        <f>IF('Encodage réponses Es'!AF6="","",'Encodage réponses Es'!AF6)</f>
      </c>
      <c r="BD7" s="167">
        <f>IF('Encodage réponses Es'!AG6="","",'Encodage réponses Es'!AG6)</f>
      </c>
      <c r="BE7" s="167">
        <f>IF('Encodage réponses Es'!AH6="","",'Encodage réponses Es'!AH6)</f>
      </c>
      <c r="BF7" s="167">
        <f>IF('Encodage réponses Es'!AI6="","",'Encodage réponses Es'!AI6)</f>
      </c>
      <c r="BG7" s="55">
        <f t="shared" si="15"/>
      </c>
      <c r="BH7" s="221">
        <f t="shared" si="16"/>
      </c>
      <c r="BI7" s="150">
        <f t="shared" si="17"/>
      </c>
      <c r="BJ7" s="54">
        <f t="shared" si="18"/>
      </c>
      <c r="BK7" s="167">
        <f>IF('Encodage réponses Es'!BQ6="","",'Encodage réponses Es'!BQ6)</f>
      </c>
      <c r="BL7" s="167">
        <f>IF('Encodage réponses Es'!BR6="","",'Encodage réponses Es'!BR6)</f>
      </c>
      <c r="BM7" s="167">
        <f>IF('Encodage réponses Es'!BS6="","",'Encodage réponses Es'!BS6)</f>
      </c>
      <c r="BN7" s="167">
        <f>IF('Encodage réponses Es'!BT6="","",'Encodage réponses Es'!BT6)</f>
      </c>
      <c r="BO7" s="289"/>
      <c r="BP7" s="358">
        <f t="shared" si="19"/>
      </c>
      <c r="BQ7" s="359"/>
      <c r="BR7" s="167">
        <f>IF('Encodage réponses Es'!BV6="","",'Encodage réponses Es'!BV6)</f>
      </c>
      <c r="BS7" s="167">
        <f>IF('Encodage réponses Es'!BW6="","",'Encodage réponses Es'!BW6)</f>
      </c>
      <c r="BT7" s="167">
        <f>IF('Encodage réponses Es'!BX6="","",'Encodage réponses Es'!BX6)</f>
      </c>
      <c r="BU7" s="167">
        <f>IF('Encodage réponses Es'!BY6="","",'Encodage réponses Es'!BY6)</f>
      </c>
      <c r="BV7" s="167">
        <f>IF('Encodage réponses Es'!BZ6="","",'Encodage réponses Es'!BZ6)</f>
      </c>
      <c r="BW7" s="251">
        <f t="shared" si="20"/>
      </c>
      <c r="BX7" s="221">
        <f t="shared" si="21"/>
      </c>
      <c r="BY7" s="167">
        <f>IF('Encodage réponses Es'!CF6="","",'Encodage réponses Es'!CF6)</f>
      </c>
      <c r="BZ7" s="167">
        <f>IF('Encodage réponses Es'!CG6="","",'Encodage réponses Es'!CG6)</f>
      </c>
      <c r="CA7" s="358">
        <f t="shared" si="22"/>
      </c>
      <c r="CB7" s="359"/>
      <c r="CC7" s="167">
        <f>IF('Encodage réponses Es'!CA6="","",'Encodage réponses Es'!CA6)</f>
      </c>
      <c r="CD7" s="167">
        <f>IF('Encodage réponses Es'!CB6="","",'Encodage réponses Es'!CB6)</f>
      </c>
      <c r="CE7" s="167">
        <f>IF('Encodage réponses Es'!CC6="","",'Encodage réponses Es'!CC6)</f>
      </c>
      <c r="CF7" s="167">
        <f>IF('Encodage réponses Es'!CD6="","",'Encodage réponses Es'!CD6)</f>
      </c>
      <c r="CG7" s="167">
        <f>IF('Encodage réponses Es'!CE6="","",'Encodage réponses Es'!CE6)</f>
      </c>
      <c r="CH7" s="330">
        <f t="shared" si="23"/>
      </c>
      <c r="CI7" s="331"/>
      <c r="CJ7" s="167">
        <f>IF('Encodage réponses Es'!AJ6="","",'Encodage réponses Es'!AJ6)</f>
      </c>
      <c r="CK7" s="167">
        <f>IF('Encodage réponses Es'!AK6="","",'Encodage réponses Es'!AK6)</f>
      </c>
      <c r="CL7" s="167">
        <f>IF('Encodage réponses Es'!AL6="","",'Encodage réponses Es'!AL6)</f>
      </c>
      <c r="CM7" s="167">
        <f>IF('Encodage réponses Es'!AM6="","",'Encodage réponses Es'!AM6)</f>
      </c>
      <c r="CN7" s="167">
        <f>IF('Encodage réponses Es'!AN6="","",'Encodage réponses Es'!AN6)</f>
      </c>
      <c r="CO7" s="167">
        <f>IF('Encodage réponses Es'!AO6="","",'Encodage réponses Es'!AO6)</f>
      </c>
      <c r="CP7" s="167">
        <f>IF('Encodage réponses Es'!AP6="","",'Encodage réponses Es'!AP6)</f>
      </c>
      <c r="CQ7" s="167">
        <f>IF('Encodage réponses Es'!AQ6="","",'Encodage réponses Es'!AQ6)</f>
      </c>
      <c r="CR7" s="167">
        <f>IF('Encodage réponses Es'!AR6="","",'Encodage réponses Es'!AR6)</f>
      </c>
      <c r="CS7" s="167">
        <f>IF('Encodage réponses Es'!AS6="","",'Encodage réponses Es'!AS6)</f>
      </c>
      <c r="CT7" s="167">
        <f>IF('Encodage réponses Es'!AT6="","",'Encodage réponses Es'!AT6)</f>
      </c>
      <c r="CU7" s="167">
        <f>IF('Encodage réponses Es'!AU6="","",'Encodage réponses Es'!AU6)</f>
      </c>
      <c r="CV7" s="358">
        <f t="shared" si="24"/>
      </c>
      <c r="CW7" s="359"/>
      <c r="CX7" s="167">
        <f>IF('Encodage réponses Es'!AV6="","",'Encodage réponses Es'!AV6)</f>
      </c>
      <c r="CY7" s="167">
        <f>IF('Encodage réponses Es'!AW6="","",'Encodage réponses Es'!AW6)</f>
      </c>
      <c r="CZ7" s="167">
        <f>IF('Encodage réponses Es'!AX6="","",'Encodage réponses Es'!AX6)</f>
      </c>
      <c r="DA7" s="167">
        <f>IF('Encodage réponses Es'!AY6="","",'Encodage réponses Es'!AY6)</f>
      </c>
      <c r="DB7" s="167">
        <f>IF('Encodage réponses Es'!AZ6="","",'Encodage réponses Es'!AZ6)</f>
      </c>
      <c r="DC7" s="167">
        <f>IF('Encodage réponses Es'!BA6="","",'Encodage réponses Es'!BA6)</f>
      </c>
      <c r="DD7" s="167">
        <f>IF('Encodage réponses Es'!BB6="","",'Encodage réponses Es'!BB6)</f>
      </c>
      <c r="DE7" s="358">
        <f t="shared" si="25"/>
      </c>
      <c r="DF7" s="359"/>
      <c r="DG7" s="167">
        <f>IF('Encodage réponses Es'!BC6="","",'Encodage réponses Es'!BC6)</f>
      </c>
      <c r="DH7" s="167">
        <f>IF('Encodage réponses Es'!BD6="","",'Encodage réponses Es'!BD6)</f>
      </c>
      <c r="DI7" s="167">
        <f>IF('Encodage réponses Es'!BE6="","",'Encodage réponses Es'!BE6)</f>
      </c>
      <c r="DJ7" s="167">
        <f>IF('Encodage réponses Es'!BF6="","",'Encodage réponses Es'!BF6)</f>
      </c>
      <c r="DK7" s="167">
        <f>IF('Encodage réponses Es'!BG6="","",'Encodage réponses Es'!BG6)</f>
      </c>
      <c r="DL7" s="167">
        <f>IF('Encodage réponses Es'!BH6="","",'Encodage réponses Es'!BH6)</f>
      </c>
      <c r="DM7" s="167">
        <f>IF('Encodage réponses Es'!BI6="","",'Encodage réponses Es'!BI6)</f>
      </c>
      <c r="DN7" s="167">
        <f>IF('Encodage réponses Es'!BJ6="","",'Encodage réponses Es'!BJ6)</f>
      </c>
      <c r="DO7" s="167">
        <f>IF('Encodage réponses Es'!BK6="","",'Encodage réponses Es'!BK6)</f>
      </c>
      <c r="DP7" s="167">
        <f>IF('Encodage réponses Es'!BL6="","",'Encodage réponses Es'!BL6)</f>
      </c>
      <c r="DQ7" s="167">
        <f>IF('Encodage réponses Es'!BM6="","",'Encodage réponses Es'!BM6)</f>
      </c>
      <c r="DR7" s="167">
        <f>IF('Encodage réponses Es'!BN6="","",'Encodage réponses Es'!BN6)</f>
      </c>
      <c r="DS7" s="167">
        <f>IF('Encodage réponses Es'!BO6="","",'Encodage réponses Es'!BO6)</f>
      </c>
      <c r="DT7" s="167">
        <f>IF('Encodage réponses Es'!BP6="","",'Encodage réponses Es'!BP6)</f>
      </c>
      <c r="DU7" s="330">
        <f t="shared" si="26"/>
      </c>
      <c r="DV7" s="331"/>
    </row>
    <row r="8" spans="1:126" ht="11.25" customHeight="1">
      <c r="A8" s="181"/>
      <c r="B8"/>
      <c r="C8" s="278">
        <f>IF('Encodage réponses Es'!C7="","",'Encodage réponses Es'!C7)</f>
        <v>5</v>
      </c>
      <c r="D8" s="340"/>
      <c r="E8" s="291">
        <f t="shared" si="1"/>
      </c>
      <c r="F8" s="290">
        <f t="shared" si="2"/>
      </c>
      <c r="G8" s="322"/>
      <c r="H8" s="291">
        <f t="shared" si="3"/>
      </c>
      <c r="I8" s="29"/>
      <c r="J8" s="291">
        <f t="shared" si="4"/>
      </c>
      <c r="K8" s="290">
        <f t="shared" si="5"/>
      </c>
      <c r="L8" s="291">
        <f t="shared" si="6"/>
      </c>
      <c r="M8" s="290">
        <f t="shared" si="7"/>
      </c>
      <c r="N8" s="291">
        <f t="shared" si="8"/>
      </c>
      <c r="O8" s="290">
        <f t="shared" si="9"/>
      </c>
      <c r="P8" s="291">
        <f>IF(DU8="","",Résultats!DU8)</f>
      </c>
      <c r="Q8" s="292">
        <f t="shared" si="10"/>
      </c>
      <c r="R8" s="181"/>
      <c r="S8" s="284"/>
      <c r="T8" s="186">
        <f>IF('Encodage réponses Es'!E7="","",'Encodage réponses Es'!E7)</f>
      </c>
      <c r="U8" s="100">
        <f>IF('Encodage réponses Es'!J7="","",'Encodage réponses Es'!J7)</f>
      </c>
      <c r="V8" s="100">
        <f>IF('Encodage réponses Es'!AP7="","",'Encodage réponses Es'!AP7)</f>
      </c>
      <c r="W8" s="358">
        <f t="shared" si="11"/>
      </c>
      <c r="X8" s="359"/>
      <c r="Y8" s="167">
        <f>IF('Encodage réponses Es'!H7="","",'Encodage réponses Es'!H7)</f>
      </c>
      <c r="Z8" s="167">
        <f>IF('Encodage réponses Es'!I7="","",'Encodage réponses Es'!I7)</f>
      </c>
      <c r="AA8" s="167">
        <f>IF('Encodage réponses Es'!J7="","",'Encodage réponses Es'!J7)</f>
      </c>
      <c r="AB8" s="167">
        <f>IF('Encodage réponses Es'!K7="","",'Encodage réponses Es'!K7)</f>
      </c>
      <c r="AC8" s="167">
        <f>IF('Encodage réponses Es'!L7="","",'Encodage réponses Es'!L7)</f>
      </c>
      <c r="AD8" s="167">
        <f>IF('Encodage réponses Es'!Q7="","",'Encodage réponses Es'!Q7)</f>
      </c>
      <c r="AE8" s="167">
        <f>IF('Encodage réponses Es'!R7="","",'Encodage réponses Es'!R7)</f>
      </c>
      <c r="AF8" s="167">
        <f>IF('Encodage réponses Es'!S7="","",'Encodage réponses Es'!S7)</f>
      </c>
      <c r="AG8" s="167">
        <f>IF('Encodage réponses Es'!T7="","",'Encodage réponses Es'!T7)</f>
      </c>
      <c r="AH8" s="167">
        <f>IF('Encodage réponses Es'!U7="","",'Encodage réponses Es'!U7)</f>
      </c>
      <c r="AI8" s="167">
        <f>IF('Encodage réponses Es'!V7="","",'Encodage réponses Es'!V7)</f>
      </c>
      <c r="AJ8" s="167">
        <f>IF('Encodage réponses Es'!W7="","",'Encodage réponses Es'!W7)</f>
      </c>
      <c r="AK8" s="167">
        <f>IF('Encodage réponses Es'!X7="","",'Encodage réponses Es'!X7)</f>
      </c>
      <c r="AL8" s="167">
        <f>IF('Encodage réponses Es'!Y7="","",'Encodage réponses Es'!Y7)</f>
      </c>
      <c r="AM8" s="167">
        <f>IF('Encodage réponses Es'!Z7="","",'Encodage réponses Es'!Z7)</f>
      </c>
      <c r="AN8" s="167">
        <f>IF('Encodage réponses Es'!AA7="","",'Encodage réponses Es'!AA7)</f>
      </c>
      <c r="AO8" s="358">
        <f t="shared" si="12"/>
      </c>
      <c r="AP8" s="359"/>
      <c r="AQ8" s="55">
        <f t="shared" si="0"/>
      </c>
      <c r="AR8" s="55">
        <f t="shared" si="13"/>
      </c>
      <c r="AS8" s="241">
        <f>IF('Encodage réponses Es'!M7="","",'Encodage réponses Es'!M7)</f>
      </c>
      <c r="AT8" s="167">
        <f>IF('Encodage réponses Es'!N7="","",'Encodage réponses Es'!N7)</f>
      </c>
      <c r="AU8" s="167">
        <f>IF('Encodage réponses Es'!O7="","",'Encodage réponses Es'!O7)</f>
      </c>
      <c r="AV8" s="167">
        <f>IF('Encodage réponses Es'!P7="","",'Encodage réponses Es'!P7)</f>
      </c>
      <c r="AW8" s="358">
        <f t="shared" si="14"/>
      </c>
      <c r="AX8" s="359"/>
      <c r="AY8" s="167">
        <f>IF('Encodage réponses Es'!AB7="","",'Encodage réponses Es'!AB7)</f>
      </c>
      <c r="AZ8" s="167">
        <f>IF('Encodage réponses Es'!AC7="","",'Encodage réponses Es'!AC7)</f>
      </c>
      <c r="BA8" s="167">
        <f>IF('Encodage réponses Es'!AD7="","",'Encodage réponses Es'!AD7)</f>
      </c>
      <c r="BB8" s="167">
        <f>IF('Encodage réponses Es'!AE7="","",'Encodage réponses Es'!AE7)</f>
      </c>
      <c r="BC8" s="167">
        <f>IF('Encodage réponses Es'!AF7="","",'Encodage réponses Es'!AF7)</f>
      </c>
      <c r="BD8" s="167">
        <f>IF('Encodage réponses Es'!AG7="","",'Encodage réponses Es'!AG7)</f>
      </c>
      <c r="BE8" s="167">
        <f>IF('Encodage réponses Es'!AH7="","",'Encodage réponses Es'!AH7)</f>
      </c>
      <c r="BF8" s="167">
        <f>IF('Encodage réponses Es'!AI7="","",'Encodage réponses Es'!AI7)</f>
      </c>
      <c r="BG8" s="55">
        <f t="shared" si="15"/>
      </c>
      <c r="BH8" s="221">
        <f t="shared" si="16"/>
      </c>
      <c r="BI8" s="150">
        <f t="shared" si="17"/>
      </c>
      <c r="BJ8" s="54">
        <f t="shared" si="18"/>
      </c>
      <c r="BK8" s="167">
        <f>IF('Encodage réponses Es'!BQ7="","",'Encodage réponses Es'!BQ7)</f>
      </c>
      <c r="BL8" s="167">
        <f>IF('Encodage réponses Es'!BR7="","",'Encodage réponses Es'!BR7)</f>
      </c>
      <c r="BM8" s="167">
        <f>IF('Encodage réponses Es'!BS7="","",'Encodage réponses Es'!BS7)</f>
      </c>
      <c r="BN8" s="167">
        <f>IF('Encodage réponses Es'!BT7="","",'Encodage réponses Es'!BT7)</f>
      </c>
      <c r="BO8" s="289"/>
      <c r="BP8" s="358">
        <f t="shared" si="19"/>
      </c>
      <c r="BQ8" s="359"/>
      <c r="BR8" s="167">
        <f>IF('Encodage réponses Es'!BV7="","",'Encodage réponses Es'!BV7)</f>
      </c>
      <c r="BS8" s="167">
        <f>IF('Encodage réponses Es'!BW7="","",'Encodage réponses Es'!BW7)</f>
      </c>
      <c r="BT8" s="167">
        <f>IF('Encodage réponses Es'!BX7="","",'Encodage réponses Es'!BX7)</f>
      </c>
      <c r="BU8" s="167">
        <f>IF('Encodage réponses Es'!BY7="","",'Encodage réponses Es'!BY7)</f>
      </c>
      <c r="BV8" s="167">
        <f>IF('Encodage réponses Es'!BZ7="","",'Encodage réponses Es'!BZ7)</f>
      </c>
      <c r="BW8" s="251">
        <f t="shared" si="20"/>
      </c>
      <c r="BX8" s="221">
        <f t="shared" si="21"/>
      </c>
      <c r="BY8" s="167">
        <f>IF('Encodage réponses Es'!CF7="","",'Encodage réponses Es'!CF7)</f>
      </c>
      <c r="BZ8" s="167">
        <f>IF('Encodage réponses Es'!CG7="","",'Encodage réponses Es'!CG7)</f>
      </c>
      <c r="CA8" s="358">
        <f t="shared" si="22"/>
      </c>
      <c r="CB8" s="359"/>
      <c r="CC8" s="167">
        <f>IF('Encodage réponses Es'!CA7="","",'Encodage réponses Es'!CA7)</f>
      </c>
      <c r="CD8" s="167">
        <f>IF('Encodage réponses Es'!CB7="","",'Encodage réponses Es'!CB7)</f>
      </c>
      <c r="CE8" s="167">
        <f>IF('Encodage réponses Es'!CC7="","",'Encodage réponses Es'!CC7)</f>
      </c>
      <c r="CF8" s="167">
        <f>IF('Encodage réponses Es'!CD7="","",'Encodage réponses Es'!CD7)</f>
      </c>
      <c r="CG8" s="167">
        <f>IF('Encodage réponses Es'!CE7="","",'Encodage réponses Es'!CE7)</f>
      </c>
      <c r="CH8" s="330">
        <f t="shared" si="23"/>
      </c>
      <c r="CI8" s="331"/>
      <c r="CJ8" s="167">
        <f>IF('Encodage réponses Es'!AJ7="","",'Encodage réponses Es'!AJ7)</f>
      </c>
      <c r="CK8" s="167">
        <f>IF('Encodage réponses Es'!AK7="","",'Encodage réponses Es'!AK7)</f>
      </c>
      <c r="CL8" s="167">
        <f>IF('Encodage réponses Es'!AL7="","",'Encodage réponses Es'!AL7)</f>
      </c>
      <c r="CM8" s="167">
        <f>IF('Encodage réponses Es'!AM7="","",'Encodage réponses Es'!AM7)</f>
      </c>
      <c r="CN8" s="167">
        <f>IF('Encodage réponses Es'!AN7="","",'Encodage réponses Es'!AN7)</f>
      </c>
      <c r="CO8" s="167">
        <f>IF('Encodage réponses Es'!AO7="","",'Encodage réponses Es'!AO7)</f>
      </c>
      <c r="CP8" s="167">
        <f>IF('Encodage réponses Es'!AP7="","",'Encodage réponses Es'!AP7)</f>
      </c>
      <c r="CQ8" s="167">
        <f>IF('Encodage réponses Es'!AQ7="","",'Encodage réponses Es'!AQ7)</f>
      </c>
      <c r="CR8" s="167">
        <f>IF('Encodage réponses Es'!AR7="","",'Encodage réponses Es'!AR7)</f>
      </c>
      <c r="CS8" s="167">
        <f>IF('Encodage réponses Es'!AS7="","",'Encodage réponses Es'!AS7)</f>
      </c>
      <c r="CT8" s="167">
        <f>IF('Encodage réponses Es'!AT7="","",'Encodage réponses Es'!AT7)</f>
      </c>
      <c r="CU8" s="167">
        <f>IF('Encodage réponses Es'!AU7="","",'Encodage réponses Es'!AU7)</f>
      </c>
      <c r="CV8" s="358">
        <f t="shared" si="24"/>
      </c>
      <c r="CW8" s="359"/>
      <c r="CX8" s="167">
        <f>IF('Encodage réponses Es'!AV7="","",'Encodage réponses Es'!AV7)</f>
      </c>
      <c r="CY8" s="167">
        <f>IF('Encodage réponses Es'!AW7="","",'Encodage réponses Es'!AW7)</f>
      </c>
      <c r="CZ8" s="167">
        <f>IF('Encodage réponses Es'!AX7="","",'Encodage réponses Es'!AX7)</f>
      </c>
      <c r="DA8" s="167">
        <f>IF('Encodage réponses Es'!AY7="","",'Encodage réponses Es'!AY7)</f>
      </c>
      <c r="DB8" s="167">
        <f>IF('Encodage réponses Es'!AZ7="","",'Encodage réponses Es'!AZ7)</f>
      </c>
      <c r="DC8" s="167">
        <f>IF('Encodage réponses Es'!BA7="","",'Encodage réponses Es'!BA7)</f>
      </c>
      <c r="DD8" s="167">
        <f>IF('Encodage réponses Es'!BB7="","",'Encodage réponses Es'!BB7)</f>
      </c>
      <c r="DE8" s="358">
        <f t="shared" si="25"/>
      </c>
      <c r="DF8" s="359"/>
      <c r="DG8" s="167">
        <f>IF('Encodage réponses Es'!BC7="","",'Encodage réponses Es'!BC7)</f>
      </c>
      <c r="DH8" s="167">
        <f>IF('Encodage réponses Es'!BD7="","",'Encodage réponses Es'!BD7)</f>
      </c>
      <c r="DI8" s="167">
        <f>IF('Encodage réponses Es'!BE7="","",'Encodage réponses Es'!BE7)</f>
      </c>
      <c r="DJ8" s="167">
        <f>IF('Encodage réponses Es'!BF7="","",'Encodage réponses Es'!BF7)</f>
      </c>
      <c r="DK8" s="167">
        <f>IF('Encodage réponses Es'!BG7="","",'Encodage réponses Es'!BG7)</f>
      </c>
      <c r="DL8" s="167">
        <f>IF('Encodage réponses Es'!BH7="","",'Encodage réponses Es'!BH7)</f>
      </c>
      <c r="DM8" s="167">
        <f>IF('Encodage réponses Es'!BI7="","",'Encodage réponses Es'!BI7)</f>
      </c>
      <c r="DN8" s="167">
        <f>IF('Encodage réponses Es'!BJ7="","",'Encodage réponses Es'!BJ7)</f>
      </c>
      <c r="DO8" s="167">
        <f>IF('Encodage réponses Es'!BK7="","",'Encodage réponses Es'!BK7)</f>
      </c>
      <c r="DP8" s="167">
        <f>IF('Encodage réponses Es'!BL7="","",'Encodage réponses Es'!BL7)</f>
      </c>
      <c r="DQ8" s="167">
        <f>IF('Encodage réponses Es'!BM7="","",'Encodage réponses Es'!BM7)</f>
      </c>
      <c r="DR8" s="167">
        <f>IF('Encodage réponses Es'!BN7="","",'Encodage réponses Es'!BN7)</f>
      </c>
      <c r="DS8" s="167">
        <f>IF('Encodage réponses Es'!BO7="","",'Encodage réponses Es'!BO7)</f>
      </c>
      <c r="DT8" s="167">
        <f>IF('Encodage réponses Es'!BP7="","",'Encodage réponses Es'!BP7)</f>
      </c>
      <c r="DU8" s="330">
        <f t="shared" si="26"/>
      </c>
      <c r="DV8" s="331"/>
    </row>
    <row r="9" spans="1:126" ht="11.25" customHeight="1">
      <c r="A9" s="181"/>
      <c r="B9"/>
      <c r="C9" s="278">
        <f>IF('Encodage réponses Es'!C8="","",'Encodage réponses Es'!C8)</f>
        <v>6</v>
      </c>
      <c r="D9" s="340"/>
      <c r="E9" s="291">
        <f t="shared" si="1"/>
      </c>
      <c r="F9" s="290">
        <f t="shared" si="2"/>
      </c>
      <c r="G9" s="322"/>
      <c r="H9" s="291">
        <f t="shared" si="3"/>
      </c>
      <c r="I9" s="29"/>
      <c r="J9" s="291">
        <f t="shared" si="4"/>
      </c>
      <c r="K9" s="290">
        <f t="shared" si="5"/>
      </c>
      <c r="L9" s="291">
        <f t="shared" si="6"/>
      </c>
      <c r="M9" s="290">
        <f t="shared" si="7"/>
      </c>
      <c r="N9" s="291">
        <f t="shared" si="8"/>
      </c>
      <c r="O9" s="290">
        <f t="shared" si="9"/>
      </c>
      <c r="P9" s="291">
        <f>IF(DU9="","",Résultats!DU9)</f>
      </c>
      <c r="Q9" s="292">
        <f t="shared" si="10"/>
      </c>
      <c r="R9" s="181"/>
      <c r="S9" s="284"/>
      <c r="T9" s="186">
        <f>IF('Encodage réponses Es'!E8="","",'Encodage réponses Es'!E8)</f>
      </c>
      <c r="U9" s="100">
        <f>IF('Encodage réponses Es'!J8="","",'Encodage réponses Es'!J8)</f>
      </c>
      <c r="V9" s="100">
        <f>IF('Encodage réponses Es'!AP8="","",'Encodage réponses Es'!AP8)</f>
      </c>
      <c r="W9" s="358">
        <f t="shared" si="11"/>
      </c>
      <c r="X9" s="359"/>
      <c r="Y9" s="167">
        <f>IF('Encodage réponses Es'!H8="","",'Encodage réponses Es'!H8)</f>
      </c>
      <c r="Z9" s="167">
        <f>IF('Encodage réponses Es'!I8="","",'Encodage réponses Es'!I8)</f>
      </c>
      <c r="AA9" s="167">
        <f>IF('Encodage réponses Es'!J8="","",'Encodage réponses Es'!J8)</f>
      </c>
      <c r="AB9" s="167">
        <f>IF('Encodage réponses Es'!K8="","",'Encodage réponses Es'!K8)</f>
      </c>
      <c r="AC9" s="167">
        <f>IF('Encodage réponses Es'!L8="","",'Encodage réponses Es'!L8)</f>
      </c>
      <c r="AD9" s="167">
        <f>IF('Encodage réponses Es'!Q8="","",'Encodage réponses Es'!Q8)</f>
      </c>
      <c r="AE9" s="167">
        <f>IF('Encodage réponses Es'!R8="","",'Encodage réponses Es'!R8)</f>
      </c>
      <c r="AF9" s="167">
        <f>IF('Encodage réponses Es'!S8="","",'Encodage réponses Es'!S8)</f>
      </c>
      <c r="AG9" s="167">
        <f>IF('Encodage réponses Es'!T8="","",'Encodage réponses Es'!T8)</f>
      </c>
      <c r="AH9" s="167">
        <f>IF('Encodage réponses Es'!U8="","",'Encodage réponses Es'!U8)</f>
      </c>
      <c r="AI9" s="167">
        <f>IF('Encodage réponses Es'!V8="","",'Encodage réponses Es'!V8)</f>
      </c>
      <c r="AJ9" s="167">
        <f>IF('Encodage réponses Es'!W8="","",'Encodage réponses Es'!W8)</f>
      </c>
      <c r="AK9" s="167">
        <f>IF('Encodage réponses Es'!X8="","",'Encodage réponses Es'!X8)</f>
      </c>
      <c r="AL9" s="167">
        <f>IF('Encodage réponses Es'!Y8="","",'Encodage réponses Es'!Y8)</f>
      </c>
      <c r="AM9" s="167">
        <f>IF('Encodage réponses Es'!Z8="","",'Encodage réponses Es'!Z8)</f>
      </c>
      <c r="AN9" s="167">
        <f>IF('Encodage réponses Es'!AA8="","",'Encodage réponses Es'!AA8)</f>
      </c>
      <c r="AO9" s="358">
        <f t="shared" si="12"/>
      </c>
      <c r="AP9" s="359"/>
      <c r="AQ9" s="55">
        <f t="shared" si="0"/>
      </c>
      <c r="AR9" s="55">
        <f t="shared" si="13"/>
      </c>
      <c r="AS9" s="241">
        <f>IF('Encodage réponses Es'!M8="","",'Encodage réponses Es'!M8)</f>
      </c>
      <c r="AT9" s="167">
        <f>IF('Encodage réponses Es'!N8="","",'Encodage réponses Es'!N8)</f>
      </c>
      <c r="AU9" s="167">
        <f>IF('Encodage réponses Es'!O8="","",'Encodage réponses Es'!O8)</f>
      </c>
      <c r="AV9" s="167">
        <f>IF('Encodage réponses Es'!P8="","",'Encodage réponses Es'!P8)</f>
      </c>
      <c r="AW9" s="358">
        <f t="shared" si="14"/>
      </c>
      <c r="AX9" s="359"/>
      <c r="AY9" s="167">
        <f>IF('Encodage réponses Es'!AB8="","",'Encodage réponses Es'!AB8)</f>
      </c>
      <c r="AZ9" s="167">
        <f>IF('Encodage réponses Es'!AC8="","",'Encodage réponses Es'!AC8)</f>
      </c>
      <c r="BA9" s="167">
        <f>IF('Encodage réponses Es'!AD8="","",'Encodage réponses Es'!AD8)</f>
      </c>
      <c r="BB9" s="167">
        <f>IF('Encodage réponses Es'!AE8="","",'Encodage réponses Es'!AE8)</f>
      </c>
      <c r="BC9" s="167">
        <f>IF('Encodage réponses Es'!AF8="","",'Encodage réponses Es'!AF8)</f>
      </c>
      <c r="BD9" s="167">
        <f>IF('Encodage réponses Es'!AG8="","",'Encodage réponses Es'!AG8)</f>
      </c>
      <c r="BE9" s="167">
        <f>IF('Encodage réponses Es'!AH8="","",'Encodage réponses Es'!AH8)</f>
      </c>
      <c r="BF9" s="167">
        <f>IF('Encodage réponses Es'!AI8="","",'Encodage réponses Es'!AI8)</f>
      </c>
      <c r="BG9" s="55">
        <f t="shared" si="15"/>
      </c>
      <c r="BH9" s="221">
        <f t="shared" si="16"/>
      </c>
      <c r="BI9" s="150">
        <f t="shared" si="17"/>
      </c>
      <c r="BJ9" s="54">
        <f t="shared" si="18"/>
      </c>
      <c r="BK9" s="167">
        <f>IF('Encodage réponses Es'!BQ8="","",'Encodage réponses Es'!BQ8)</f>
      </c>
      <c r="BL9" s="167">
        <f>IF('Encodage réponses Es'!BR8="","",'Encodage réponses Es'!BR8)</f>
      </c>
      <c r="BM9" s="167">
        <f>IF('Encodage réponses Es'!BS8="","",'Encodage réponses Es'!BS8)</f>
      </c>
      <c r="BN9" s="167">
        <f>IF('Encodage réponses Es'!BT8="","",'Encodage réponses Es'!BT8)</f>
      </c>
      <c r="BO9" s="289"/>
      <c r="BP9" s="358">
        <f t="shared" si="19"/>
      </c>
      <c r="BQ9" s="359"/>
      <c r="BR9" s="167">
        <f>IF('Encodage réponses Es'!BV8="","",'Encodage réponses Es'!BV8)</f>
      </c>
      <c r="BS9" s="167">
        <f>IF('Encodage réponses Es'!BW8="","",'Encodage réponses Es'!BW8)</f>
      </c>
      <c r="BT9" s="167">
        <f>IF('Encodage réponses Es'!BX8="","",'Encodage réponses Es'!BX8)</f>
      </c>
      <c r="BU9" s="167">
        <f>IF('Encodage réponses Es'!BY8="","",'Encodage réponses Es'!BY8)</f>
      </c>
      <c r="BV9" s="167">
        <f>IF('Encodage réponses Es'!BZ8="","",'Encodage réponses Es'!BZ8)</f>
      </c>
      <c r="BW9" s="251">
        <f t="shared" si="20"/>
      </c>
      <c r="BX9" s="221">
        <f t="shared" si="21"/>
      </c>
      <c r="BY9" s="167">
        <f>IF('Encodage réponses Es'!CF8="","",'Encodage réponses Es'!CF8)</f>
      </c>
      <c r="BZ9" s="167">
        <f>IF('Encodage réponses Es'!CG8="","",'Encodage réponses Es'!CG8)</f>
      </c>
      <c r="CA9" s="358">
        <f t="shared" si="22"/>
      </c>
      <c r="CB9" s="359"/>
      <c r="CC9" s="167">
        <f>IF('Encodage réponses Es'!CA8="","",'Encodage réponses Es'!CA8)</f>
      </c>
      <c r="CD9" s="167">
        <f>IF('Encodage réponses Es'!CB8="","",'Encodage réponses Es'!CB8)</f>
      </c>
      <c r="CE9" s="167">
        <f>IF('Encodage réponses Es'!CC8="","",'Encodage réponses Es'!CC8)</f>
      </c>
      <c r="CF9" s="167">
        <f>IF('Encodage réponses Es'!CD8="","",'Encodage réponses Es'!CD8)</f>
      </c>
      <c r="CG9" s="167">
        <f>IF('Encodage réponses Es'!CE8="","",'Encodage réponses Es'!CE8)</f>
      </c>
      <c r="CH9" s="330">
        <f t="shared" si="23"/>
      </c>
      <c r="CI9" s="331"/>
      <c r="CJ9" s="167">
        <f>IF('Encodage réponses Es'!AJ8="","",'Encodage réponses Es'!AJ8)</f>
      </c>
      <c r="CK9" s="167">
        <f>IF('Encodage réponses Es'!AK8="","",'Encodage réponses Es'!AK8)</f>
      </c>
      <c r="CL9" s="167">
        <f>IF('Encodage réponses Es'!AL8="","",'Encodage réponses Es'!AL8)</f>
      </c>
      <c r="CM9" s="167">
        <f>IF('Encodage réponses Es'!AM8="","",'Encodage réponses Es'!AM8)</f>
      </c>
      <c r="CN9" s="167">
        <f>IF('Encodage réponses Es'!AN8="","",'Encodage réponses Es'!AN8)</f>
      </c>
      <c r="CO9" s="167">
        <f>IF('Encodage réponses Es'!AO8="","",'Encodage réponses Es'!AO8)</f>
      </c>
      <c r="CP9" s="167">
        <f>IF('Encodage réponses Es'!AP8="","",'Encodage réponses Es'!AP8)</f>
      </c>
      <c r="CQ9" s="167">
        <f>IF('Encodage réponses Es'!AQ8="","",'Encodage réponses Es'!AQ8)</f>
      </c>
      <c r="CR9" s="167">
        <f>IF('Encodage réponses Es'!AR8="","",'Encodage réponses Es'!AR8)</f>
      </c>
      <c r="CS9" s="167">
        <f>IF('Encodage réponses Es'!AS8="","",'Encodage réponses Es'!AS8)</f>
      </c>
      <c r="CT9" s="167">
        <f>IF('Encodage réponses Es'!AT8="","",'Encodage réponses Es'!AT8)</f>
      </c>
      <c r="CU9" s="167">
        <f>IF('Encodage réponses Es'!AU8="","",'Encodage réponses Es'!AU8)</f>
      </c>
      <c r="CV9" s="358">
        <f t="shared" si="24"/>
      </c>
      <c r="CW9" s="359"/>
      <c r="CX9" s="167">
        <f>IF('Encodage réponses Es'!AV8="","",'Encodage réponses Es'!AV8)</f>
      </c>
      <c r="CY9" s="167">
        <f>IF('Encodage réponses Es'!AW8="","",'Encodage réponses Es'!AW8)</f>
      </c>
      <c r="CZ9" s="167">
        <f>IF('Encodage réponses Es'!AX8="","",'Encodage réponses Es'!AX8)</f>
      </c>
      <c r="DA9" s="167">
        <f>IF('Encodage réponses Es'!AY8="","",'Encodage réponses Es'!AY8)</f>
      </c>
      <c r="DB9" s="167">
        <f>IF('Encodage réponses Es'!AZ8="","",'Encodage réponses Es'!AZ8)</f>
      </c>
      <c r="DC9" s="167">
        <f>IF('Encodage réponses Es'!BA8="","",'Encodage réponses Es'!BA8)</f>
      </c>
      <c r="DD9" s="167">
        <f>IF('Encodage réponses Es'!BB8="","",'Encodage réponses Es'!BB8)</f>
      </c>
      <c r="DE9" s="358">
        <f t="shared" si="25"/>
      </c>
      <c r="DF9" s="359"/>
      <c r="DG9" s="167">
        <f>IF('Encodage réponses Es'!BC8="","",'Encodage réponses Es'!BC8)</f>
      </c>
      <c r="DH9" s="167">
        <f>IF('Encodage réponses Es'!BD8="","",'Encodage réponses Es'!BD8)</f>
      </c>
      <c r="DI9" s="167">
        <f>IF('Encodage réponses Es'!BE8="","",'Encodage réponses Es'!BE8)</f>
      </c>
      <c r="DJ9" s="167">
        <f>IF('Encodage réponses Es'!BF8="","",'Encodage réponses Es'!BF8)</f>
      </c>
      <c r="DK9" s="167">
        <f>IF('Encodage réponses Es'!BG8="","",'Encodage réponses Es'!BG8)</f>
      </c>
      <c r="DL9" s="167">
        <f>IF('Encodage réponses Es'!BH8="","",'Encodage réponses Es'!BH8)</f>
      </c>
      <c r="DM9" s="167">
        <f>IF('Encodage réponses Es'!BI8="","",'Encodage réponses Es'!BI8)</f>
      </c>
      <c r="DN9" s="167">
        <f>IF('Encodage réponses Es'!BJ8="","",'Encodage réponses Es'!BJ8)</f>
      </c>
      <c r="DO9" s="167">
        <f>IF('Encodage réponses Es'!BK8="","",'Encodage réponses Es'!BK8)</f>
      </c>
      <c r="DP9" s="167">
        <f>IF('Encodage réponses Es'!BL8="","",'Encodage réponses Es'!BL8)</f>
      </c>
      <c r="DQ9" s="167">
        <f>IF('Encodage réponses Es'!BM8="","",'Encodage réponses Es'!BM8)</f>
      </c>
      <c r="DR9" s="167">
        <f>IF('Encodage réponses Es'!BN8="","",'Encodage réponses Es'!BN8)</f>
      </c>
      <c r="DS9" s="167">
        <f>IF('Encodage réponses Es'!BO8="","",'Encodage réponses Es'!BO8)</f>
      </c>
      <c r="DT9" s="167">
        <f>IF('Encodage réponses Es'!BP8="","",'Encodage réponses Es'!BP8)</f>
      </c>
      <c r="DU9" s="330">
        <f t="shared" si="26"/>
      </c>
      <c r="DV9" s="331"/>
    </row>
    <row r="10" spans="1:126" ht="11.25" customHeight="1">
      <c r="A10" s="181"/>
      <c r="B10"/>
      <c r="C10" s="278">
        <f>IF('Encodage réponses Es'!C9="","",'Encodage réponses Es'!C9)</f>
        <v>7</v>
      </c>
      <c r="D10" s="340"/>
      <c r="E10" s="291">
        <f t="shared" si="1"/>
      </c>
      <c r="F10" s="290">
        <f t="shared" si="2"/>
      </c>
      <c r="G10" s="322"/>
      <c r="H10" s="291">
        <f t="shared" si="3"/>
      </c>
      <c r="I10" s="29"/>
      <c r="J10" s="291">
        <f t="shared" si="4"/>
      </c>
      <c r="K10" s="290">
        <f t="shared" si="5"/>
      </c>
      <c r="L10" s="291">
        <f t="shared" si="6"/>
      </c>
      <c r="M10" s="290">
        <f t="shared" si="7"/>
      </c>
      <c r="N10" s="291">
        <f t="shared" si="8"/>
      </c>
      <c r="O10" s="290">
        <f t="shared" si="9"/>
      </c>
      <c r="P10" s="291">
        <f>IF(DU10="","",Résultats!DU10)</f>
      </c>
      <c r="Q10" s="292">
        <f t="shared" si="10"/>
      </c>
      <c r="R10" s="181"/>
      <c r="S10" s="284"/>
      <c r="T10" s="186">
        <f>IF('Encodage réponses Es'!E9="","",'Encodage réponses Es'!E9)</f>
      </c>
      <c r="U10" s="100">
        <f>IF('Encodage réponses Es'!J9="","",'Encodage réponses Es'!J9)</f>
      </c>
      <c r="V10" s="100">
        <f>IF('Encodage réponses Es'!AP9="","",'Encodage réponses Es'!AP9)</f>
      </c>
      <c r="W10" s="358">
        <f t="shared" si="11"/>
      </c>
      <c r="X10" s="359"/>
      <c r="Y10" s="167">
        <f>IF('Encodage réponses Es'!H9="","",'Encodage réponses Es'!H9)</f>
      </c>
      <c r="Z10" s="167">
        <f>IF('Encodage réponses Es'!I9="","",'Encodage réponses Es'!I9)</f>
      </c>
      <c r="AA10" s="167">
        <f>IF('Encodage réponses Es'!J9="","",'Encodage réponses Es'!J9)</f>
      </c>
      <c r="AB10" s="167">
        <f>IF('Encodage réponses Es'!K9="","",'Encodage réponses Es'!K9)</f>
      </c>
      <c r="AC10" s="167">
        <f>IF('Encodage réponses Es'!L9="","",'Encodage réponses Es'!L9)</f>
      </c>
      <c r="AD10" s="167">
        <f>IF('Encodage réponses Es'!Q9="","",'Encodage réponses Es'!Q9)</f>
      </c>
      <c r="AE10" s="167">
        <f>IF('Encodage réponses Es'!R9="","",'Encodage réponses Es'!R9)</f>
      </c>
      <c r="AF10" s="167">
        <f>IF('Encodage réponses Es'!S9="","",'Encodage réponses Es'!S9)</f>
      </c>
      <c r="AG10" s="167">
        <f>IF('Encodage réponses Es'!T9="","",'Encodage réponses Es'!T9)</f>
      </c>
      <c r="AH10" s="167">
        <f>IF('Encodage réponses Es'!U9="","",'Encodage réponses Es'!U9)</f>
      </c>
      <c r="AI10" s="167">
        <f>IF('Encodage réponses Es'!V9="","",'Encodage réponses Es'!V9)</f>
      </c>
      <c r="AJ10" s="167">
        <f>IF('Encodage réponses Es'!W9="","",'Encodage réponses Es'!W9)</f>
      </c>
      <c r="AK10" s="167">
        <f>IF('Encodage réponses Es'!X9="","",'Encodage réponses Es'!X9)</f>
      </c>
      <c r="AL10" s="167">
        <f>IF('Encodage réponses Es'!Y9="","",'Encodage réponses Es'!Y9)</f>
      </c>
      <c r="AM10" s="167">
        <f>IF('Encodage réponses Es'!Z9="","",'Encodage réponses Es'!Z9)</f>
      </c>
      <c r="AN10" s="167">
        <f>IF('Encodage réponses Es'!AA9="","",'Encodage réponses Es'!AA9)</f>
      </c>
      <c r="AO10" s="358">
        <f t="shared" si="12"/>
      </c>
      <c r="AP10" s="359"/>
      <c r="AQ10" s="55">
        <f t="shared" si="0"/>
      </c>
      <c r="AR10" s="55">
        <f t="shared" si="13"/>
      </c>
      <c r="AS10" s="241">
        <f>IF('Encodage réponses Es'!M9="","",'Encodage réponses Es'!M9)</f>
      </c>
      <c r="AT10" s="167">
        <f>IF('Encodage réponses Es'!N9="","",'Encodage réponses Es'!N9)</f>
      </c>
      <c r="AU10" s="167">
        <f>IF('Encodage réponses Es'!O9="","",'Encodage réponses Es'!O9)</f>
      </c>
      <c r="AV10" s="167">
        <f>IF('Encodage réponses Es'!P9="","",'Encodage réponses Es'!P9)</f>
      </c>
      <c r="AW10" s="358">
        <f t="shared" si="14"/>
      </c>
      <c r="AX10" s="359"/>
      <c r="AY10" s="167">
        <f>IF('Encodage réponses Es'!AB9="","",'Encodage réponses Es'!AB9)</f>
      </c>
      <c r="AZ10" s="167">
        <f>IF('Encodage réponses Es'!AC9="","",'Encodage réponses Es'!AC9)</f>
      </c>
      <c r="BA10" s="167">
        <f>IF('Encodage réponses Es'!AD9="","",'Encodage réponses Es'!AD9)</f>
      </c>
      <c r="BB10" s="167">
        <f>IF('Encodage réponses Es'!AE9="","",'Encodage réponses Es'!AE9)</f>
      </c>
      <c r="BC10" s="167">
        <f>IF('Encodage réponses Es'!AF9="","",'Encodage réponses Es'!AF9)</f>
      </c>
      <c r="BD10" s="167">
        <f>IF('Encodage réponses Es'!AG9="","",'Encodage réponses Es'!AG9)</f>
      </c>
      <c r="BE10" s="167">
        <f>IF('Encodage réponses Es'!AH9="","",'Encodage réponses Es'!AH9)</f>
      </c>
      <c r="BF10" s="167">
        <f>IF('Encodage réponses Es'!AI9="","",'Encodage réponses Es'!AI9)</f>
      </c>
      <c r="BG10" s="55">
        <f t="shared" si="15"/>
      </c>
      <c r="BH10" s="221">
        <f t="shared" si="16"/>
      </c>
      <c r="BI10" s="150">
        <f t="shared" si="17"/>
      </c>
      <c r="BJ10" s="54">
        <f t="shared" si="18"/>
      </c>
      <c r="BK10" s="167">
        <f>IF('Encodage réponses Es'!BQ9="","",'Encodage réponses Es'!BQ9)</f>
      </c>
      <c r="BL10" s="167">
        <f>IF('Encodage réponses Es'!BR9="","",'Encodage réponses Es'!BR9)</f>
      </c>
      <c r="BM10" s="167">
        <f>IF('Encodage réponses Es'!BS9="","",'Encodage réponses Es'!BS9)</f>
      </c>
      <c r="BN10" s="167">
        <f>IF('Encodage réponses Es'!BT9="","",'Encodage réponses Es'!BT9)</f>
      </c>
      <c r="BO10" s="289"/>
      <c r="BP10" s="358">
        <f t="shared" si="19"/>
      </c>
      <c r="BQ10" s="359"/>
      <c r="BR10" s="167">
        <f>IF('Encodage réponses Es'!BV9="","",'Encodage réponses Es'!BV9)</f>
      </c>
      <c r="BS10" s="167">
        <f>IF('Encodage réponses Es'!BW9="","",'Encodage réponses Es'!BW9)</f>
      </c>
      <c r="BT10" s="167">
        <f>IF('Encodage réponses Es'!BX9="","",'Encodage réponses Es'!BX9)</f>
      </c>
      <c r="BU10" s="167">
        <f>IF('Encodage réponses Es'!BY9="","",'Encodage réponses Es'!BY9)</f>
      </c>
      <c r="BV10" s="167">
        <f>IF('Encodage réponses Es'!BZ9="","",'Encodage réponses Es'!BZ9)</f>
      </c>
      <c r="BW10" s="251">
        <f t="shared" si="20"/>
      </c>
      <c r="BX10" s="221">
        <f t="shared" si="21"/>
      </c>
      <c r="BY10" s="167">
        <f>IF('Encodage réponses Es'!CF9="","",'Encodage réponses Es'!CF9)</f>
      </c>
      <c r="BZ10" s="167">
        <f>IF('Encodage réponses Es'!CG9="","",'Encodage réponses Es'!CG9)</f>
      </c>
      <c r="CA10" s="358">
        <f t="shared" si="22"/>
      </c>
      <c r="CB10" s="359"/>
      <c r="CC10" s="167">
        <f>IF('Encodage réponses Es'!CA9="","",'Encodage réponses Es'!CA9)</f>
      </c>
      <c r="CD10" s="167">
        <f>IF('Encodage réponses Es'!CB9="","",'Encodage réponses Es'!CB9)</f>
      </c>
      <c r="CE10" s="167">
        <f>IF('Encodage réponses Es'!CC9="","",'Encodage réponses Es'!CC9)</f>
      </c>
      <c r="CF10" s="167">
        <f>IF('Encodage réponses Es'!CD9="","",'Encodage réponses Es'!CD9)</f>
      </c>
      <c r="CG10" s="167">
        <f>IF('Encodage réponses Es'!CE9="","",'Encodage réponses Es'!CE9)</f>
      </c>
      <c r="CH10" s="330">
        <f t="shared" si="23"/>
      </c>
      <c r="CI10" s="331"/>
      <c r="CJ10" s="167">
        <f>IF('Encodage réponses Es'!AJ9="","",'Encodage réponses Es'!AJ9)</f>
      </c>
      <c r="CK10" s="167">
        <f>IF('Encodage réponses Es'!AK9="","",'Encodage réponses Es'!AK9)</f>
      </c>
      <c r="CL10" s="167">
        <f>IF('Encodage réponses Es'!AL9="","",'Encodage réponses Es'!AL9)</f>
      </c>
      <c r="CM10" s="167">
        <f>IF('Encodage réponses Es'!AM9="","",'Encodage réponses Es'!AM9)</f>
      </c>
      <c r="CN10" s="167">
        <f>IF('Encodage réponses Es'!AN9="","",'Encodage réponses Es'!AN9)</f>
      </c>
      <c r="CO10" s="167">
        <f>IF('Encodage réponses Es'!AO9="","",'Encodage réponses Es'!AO9)</f>
      </c>
      <c r="CP10" s="167">
        <f>IF('Encodage réponses Es'!AP9="","",'Encodage réponses Es'!AP9)</f>
      </c>
      <c r="CQ10" s="167">
        <f>IF('Encodage réponses Es'!AQ9="","",'Encodage réponses Es'!AQ9)</f>
      </c>
      <c r="CR10" s="167">
        <f>IF('Encodage réponses Es'!AR9="","",'Encodage réponses Es'!AR9)</f>
      </c>
      <c r="CS10" s="167">
        <f>IF('Encodage réponses Es'!AS9="","",'Encodage réponses Es'!AS9)</f>
      </c>
      <c r="CT10" s="167">
        <f>IF('Encodage réponses Es'!AT9="","",'Encodage réponses Es'!AT9)</f>
      </c>
      <c r="CU10" s="167">
        <f>IF('Encodage réponses Es'!AU9="","",'Encodage réponses Es'!AU9)</f>
      </c>
      <c r="CV10" s="358">
        <f t="shared" si="24"/>
      </c>
      <c r="CW10" s="359"/>
      <c r="CX10" s="167">
        <f>IF('Encodage réponses Es'!AV9="","",'Encodage réponses Es'!AV9)</f>
      </c>
      <c r="CY10" s="167">
        <f>IF('Encodage réponses Es'!AW9="","",'Encodage réponses Es'!AW9)</f>
      </c>
      <c r="CZ10" s="167">
        <f>IF('Encodage réponses Es'!AX9="","",'Encodage réponses Es'!AX9)</f>
      </c>
      <c r="DA10" s="167">
        <f>IF('Encodage réponses Es'!AY9="","",'Encodage réponses Es'!AY9)</f>
      </c>
      <c r="DB10" s="167">
        <f>IF('Encodage réponses Es'!AZ9="","",'Encodage réponses Es'!AZ9)</f>
      </c>
      <c r="DC10" s="167">
        <f>IF('Encodage réponses Es'!BA9="","",'Encodage réponses Es'!BA9)</f>
      </c>
      <c r="DD10" s="167">
        <f>IF('Encodage réponses Es'!BB9="","",'Encodage réponses Es'!BB9)</f>
      </c>
      <c r="DE10" s="358">
        <f t="shared" si="25"/>
      </c>
      <c r="DF10" s="359"/>
      <c r="DG10" s="167">
        <f>IF('Encodage réponses Es'!BC9="","",'Encodage réponses Es'!BC9)</f>
      </c>
      <c r="DH10" s="167">
        <f>IF('Encodage réponses Es'!BD9="","",'Encodage réponses Es'!BD9)</f>
      </c>
      <c r="DI10" s="167">
        <f>IF('Encodage réponses Es'!BE9="","",'Encodage réponses Es'!BE9)</f>
      </c>
      <c r="DJ10" s="167">
        <f>IF('Encodage réponses Es'!BF9="","",'Encodage réponses Es'!BF9)</f>
      </c>
      <c r="DK10" s="167">
        <f>IF('Encodage réponses Es'!BG9="","",'Encodage réponses Es'!BG9)</f>
      </c>
      <c r="DL10" s="167">
        <f>IF('Encodage réponses Es'!BH9="","",'Encodage réponses Es'!BH9)</f>
      </c>
      <c r="DM10" s="167">
        <f>IF('Encodage réponses Es'!BI9="","",'Encodage réponses Es'!BI9)</f>
      </c>
      <c r="DN10" s="167">
        <f>IF('Encodage réponses Es'!BJ9="","",'Encodage réponses Es'!BJ9)</f>
      </c>
      <c r="DO10" s="167">
        <f>IF('Encodage réponses Es'!BK9="","",'Encodage réponses Es'!BK9)</f>
      </c>
      <c r="DP10" s="167">
        <f>IF('Encodage réponses Es'!BL9="","",'Encodage réponses Es'!BL9)</f>
      </c>
      <c r="DQ10" s="167">
        <f>IF('Encodage réponses Es'!BM9="","",'Encodage réponses Es'!BM9)</f>
      </c>
      <c r="DR10" s="167">
        <f>IF('Encodage réponses Es'!BN9="","",'Encodage réponses Es'!BN9)</f>
      </c>
      <c r="DS10" s="167">
        <f>IF('Encodage réponses Es'!BO9="","",'Encodage réponses Es'!BO9)</f>
      </c>
      <c r="DT10" s="167">
        <f>IF('Encodage réponses Es'!BP9="","",'Encodage réponses Es'!BP9)</f>
      </c>
      <c r="DU10" s="330">
        <f t="shared" si="26"/>
      </c>
      <c r="DV10" s="331"/>
    </row>
    <row r="11" spans="1:126" ht="11.25" customHeight="1">
      <c r="A11" s="181"/>
      <c r="B11"/>
      <c r="C11" s="278">
        <f>IF('Encodage réponses Es'!C10="","",'Encodage réponses Es'!C10)</f>
        <v>8</v>
      </c>
      <c r="D11" s="340"/>
      <c r="E11" s="291">
        <f t="shared" si="1"/>
      </c>
      <c r="F11" s="290">
        <f t="shared" si="2"/>
      </c>
      <c r="G11" s="322"/>
      <c r="H11" s="291">
        <f t="shared" si="3"/>
      </c>
      <c r="I11" s="29"/>
      <c r="J11" s="291">
        <f t="shared" si="4"/>
      </c>
      <c r="K11" s="290">
        <f t="shared" si="5"/>
      </c>
      <c r="L11" s="291">
        <f t="shared" si="6"/>
      </c>
      <c r="M11" s="290">
        <f t="shared" si="7"/>
      </c>
      <c r="N11" s="291">
        <f t="shared" si="8"/>
      </c>
      <c r="O11" s="290">
        <f t="shared" si="9"/>
      </c>
      <c r="P11" s="291">
        <f>IF(DU11="","",Résultats!DU11)</f>
      </c>
      <c r="Q11" s="292">
        <f t="shared" si="10"/>
      </c>
      <c r="R11" s="181"/>
      <c r="S11" s="284"/>
      <c r="T11" s="186">
        <f>IF('Encodage réponses Es'!E10="","",'Encodage réponses Es'!E10)</f>
      </c>
      <c r="U11" s="100">
        <f>IF('Encodage réponses Es'!J10="","",'Encodage réponses Es'!J10)</f>
      </c>
      <c r="V11" s="100">
        <f>IF('Encodage réponses Es'!AP10="","",'Encodage réponses Es'!AP10)</f>
      </c>
      <c r="W11" s="358">
        <f t="shared" si="11"/>
      </c>
      <c r="X11" s="359"/>
      <c r="Y11" s="167">
        <f>IF('Encodage réponses Es'!H10="","",'Encodage réponses Es'!H10)</f>
      </c>
      <c r="Z11" s="167">
        <f>IF('Encodage réponses Es'!I10="","",'Encodage réponses Es'!I10)</f>
      </c>
      <c r="AA11" s="167">
        <f>IF('Encodage réponses Es'!J10="","",'Encodage réponses Es'!J10)</f>
      </c>
      <c r="AB11" s="167">
        <f>IF('Encodage réponses Es'!K10="","",'Encodage réponses Es'!K10)</f>
      </c>
      <c r="AC11" s="167">
        <f>IF('Encodage réponses Es'!L10="","",'Encodage réponses Es'!L10)</f>
      </c>
      <c r="AD11" s="167">
        <f>IF('Encodage réponses Es'!Q10="","",'Encodage réponses Es'!Q10)</f>
      </c>
      <c r="AE11" s="167">
        <f>IF('Encodage réponses Es'!R10="","",'Encodage réponses Es'!R10)</f>
      </c>
      <c r="AF11" s="167">
        <f>IF('Encodage réponses Es'!S10="","",'Encodage réponses Es'!S10)</f>
      </c>
      <c r="AG11" s="167">
        <f>IF('Encodage réponses Es'!T10="","",'Encodage réponses Es'!T10)</f>
      </c>
      <c r="AH11" s="167">
        <f>IF('Encodage réponses Es'!U10="","",'Encodage réponses Es'!U10)</f>
      </c>
      <c r="AI11" s="167">
        <f>IF('Encodage réponses Es'!V10="","",'Encodage réponses Es'!V10)</f>
      </c>
      <c r="AJ11" s="167">
        <f>IF('Encodage réponses Es'!W10="","",'Encodage réponses Es'!W10)</f>
      </c>
      <c r="AK11" s="167">
        <f>IF('Encodage réponses Es'!X10="","",'Encodage réponses Es'!X10)</f>
      </c>
      <c r="AL11" s="167">
        <f>IF('Encodage réponses Es'!Y10="","",'Encodage réponses Es'!Y10)</f>
      </c>
      <c r="AM11" s="167">
        <f>IF('Encodage réponses Es'!Z10="","",'Encodage réponses Es'!Z10)</f>
      </c>
      <c r="AN11" s="167">
        <f>IF('Encodage réponses Es'!AA10="","",'Encodage réponses Es'!AA10)</f>
      </c>
      <c r="AO11" s="358">
        <f t="shared" si="12"/>
      </c>
      <c r="AP11" s="359"/>
      <c r="AQ11" s="55">
        <f t="shared" si="0"/>
      </c>
      <c r="AR11" s="55">
        <f t="shared" si="13"/>
      </c>
      <c r="AS11" s="241">
        <f>IF('Encodage réponses Es'!M10="","",'Encodage réponses Es'!M10)</f>
      </c>
      <c r="AT11" s="167">
        <f>IF('Encodage réponses Es'!N10="","",'Encodage réponses Es'!N10)</f>
      </c>
      <c r="AU11" s="167">
        <f>IF('Encodage réponses Es'!O10="","",'Encodage réponses Es'!O10)</f>
      </c>
      <c r="AV11" s="167">
        <f>IF('Encodage réponses Es'!P10="","",'Encodage réponses Es'!P10)</f>
      </c>
      <c r="AW11" s="358">
        <f t="shared" si="14"/>
      </c>
      <c r="AX11" s="359"/>
      <c r="AY11" s="167">
        <f>IF('Encodage réponses Es'!AB10="","",'Encodage réponses Es'!AB10)</f>
      </c>
      <c r="AZ11" s="167">
        <f>IF('Encodage réponses Es'!AC10="","",'Encodage réponses Es'!AC10)</f>
      </c>
      <c r="BA11" s="167">
        <f>IF('Encodage réponses Es'!AD10="","",'Encodage réponses Es'!AD10)</f>
      </c>
      <c r="BB11" s="167">
        <f>IF('Encodage réponses Es'!AE10="","",'Encodage réponses Es'!AE10)</f>
      </c>
      <c r="BC11" s="167">
        <f>IF('Encodage réponses Es'!AF10="","",'Encodage réponses Es'!AF10)</f>
      </c>
      <c r="BD11" s="167">
        <f>IF('Encodage réponses Es'!AG10="","",'Encodage réponses Es'!AG10)</f>
      </c>
      <c r="BE11" s="167">
        <f>IF('Encodage réponses Es'!AH10="","",'Encodage réponses Es'!AH10)</f>
      </c>
      <c r="BF11" s="167">
        <f>IF('Encodage réponses Es'!AI10="","",'Encodage réponses Es'!AI10)</f>
      </c>
      <c r="BG11" s="55">
        <f t="shared" si="15"/>
      </c>
      <c r="BH11" s="221">
        <f t="shared" si="16"/>
      </c>
      <c r="BI11" s="150">
        <f t="shared" si="17"/>
      </c>
      <c r="BJ11" s="54">
        <f t="shared" si="18"/>
      </c>
      <c r="BK11" s="167">
        <f>IF('Encodage réponses Es'!BQ10="","",'Encodage réponses Es'!BQ10)</f>
      </c>
      <c r="BL11" s="167">
        <f>IF('Encodage réponses Es'!BR10="","",'Encodage réponses Es'!BR10)</f>
      </c>
      <c r="BM11" s="167">
        <f>IF('Encodage réponses Es'!BS10="","",'Encodage réponses Es'!BS10)</f>
      </c>
      <c r="BN11" s="167">
        <f>IF('Encodage réponses Es'!BT10="","",'Encodage réponses Es'!BT10)</f>
      </c>
      <c r="BO11" s="289"/>
      <c r="BP11" s="358">
        <f t="shared" si="19"/>
      </c>
      <c r="BQ11" s="359"/>
      <c r="BR11" s="167">
        <f>IF('Encodage réponses Es'!BV10="","",'Encodage réponses Es'!BV10)</f>
      </c>
      <c r="BS11" s="167">
        <f>IF('Encodage réponses Es'!BW10="","",'Encodage réponses Es'!BW10)</f>
      </c>
      <c r="BT11" s="167">
        <f>IF('Encodage réponses Es'!BX10="","",'Encodage réponses Es'!BX10)</f>
      </c>
      <c r="BU11" s="167">
        <f>IF('Encodage réponses Es'!BY10="","",'Encodage réponses Es'!BY10)</f>
      </c>
      <c r="BV11" s="167">
        <f>IF('Encodage réponses Es'!BZ10="","",'Encodage réponses Es'!BZ10)</f>
      </c>
      <c r="BW11" s="251">
        <f t="shared" si="20"/>
      </c>
      <c r="BX11" s="221">
        <f t="shared" si="21"/>
      </c>
      <c r="BY11" s="167">
        <f>IF('Encodage réponses Es'!CF10="","",'Encodage réponses Es'!CF10)</f>
      </c>
      <c r="BZ11" s="167">
        <f>IF('Encodage réponses Es'!CG10="","",'Encodage réponses Es'!CG10)</f>
      </c>
      <c r="CA11" s="358">
        <f t="shared" si="22"/>
      </c>
      <c r="CB11" s="359"/>
      <c r="CC11" s="167">
        <f>IF('Encodage réponses Es'!CA10="","",'Encodage réponses Es'!CA10)</f>
      </c>
      <c r="CD11" s="167">
        <f>IF('Encodage réponses Es'!CB10="","",'Encodage réponses Es'!CB10)</f>
      </c>
      <c r="CE11" s="167">
        <f>IF('Encodage réponses Es'!CC10="","",'Encodage réponses Es'!CC10)</f>
      </c>
      <c r="CF11" s="167">
        <f>IF('Encodage réponses Es'!CD10="","",'Encodage réponses Es'!CD10)</f>
      </c>
      <c r="CG11" s="167">
        <f>IF('Encodage réponses Es'!CE10="","",'Encodage réponses Es'!CE10)</f>
      </c>
      <c r="CH11" s="330">
        <f t="shared" si="23"/>
      </c>
      <c r="CI11" s="331"/>
      <c r="CJ11" s="167">
        <f>IF('Encodage réponses Es'!AJ10="","",'Encodage réponses Es'!AJ10)</f>
      </c>
      <c r="CK11" s="167">
        <f>IF('Encodage réponses Es'!AK10="","",'Encodage réponses Es'!AK10)</f>
      </c>
      <c r="CL11" s="167">
        <f>IF('Encodage réponses Es'!AL10="","",'Encodage réponses Es'!AL10)</f>
      </c>
      <c r="CM11" s="167">
        <f>IF('Encodage réponses Es'!AM10="","",'Encodage réponses Es'!AM10)</f>
      </c>
      <c r="CN11" s="167">
        <f>IF('Encodage réponses Es'!AN10="","",'Encodage réponses Es'!AN10)</f>
      </c>
      <c r="CO11" s="167">
        <f>IF('Encodage réponses Es'!AO10="","",'Encodage réponses Es'!AO10)</f>
      </c>
      <c r="CP11" s="167">
        <f>IF('Encodage réponses Es'!AP10="","",'Encodage réponses Es'!AP10)</f>
      </c>
      <c r="CQ11" s="167">
        <f>IF('Encodage réponses Es'!AQ10="","",'Encodage réponses Es'!AQ10)</f>
      </c>
      <c r="CR11" s="167">
        <f>IF('Encodage réponses Es'!AR10="","",'Encodage réponses Es'!AR10)</f>
      </c>
      <c r="CS11" s="167">
        <f>IF('Encodage réponses Es'!AS10="","",'Encodage réponses Es'!AS10)</f>
      </c>
      <c r="CT11" s="167">
        <f>IF('Encodage réponses Es'!AT10="","",'Encodage réponses Es'!AT10)</f>
      </c>
      <c r="CU11" s="167">
        <f>IF('Encodage réponses Es'!AU10="","",'Encodage réponses Es'!AU10)</f>
      </c>
      <c r="CV11" s="358">
        <f t="shared" si="24"/>
      </c>
      <c r="CW11" s="359"/>
      <c r="CX11" s="167">
        <f>IF('Encodage réponses Es'!AV10="","",'Encodage réponses Es'!AV10)</f>
      </c>
      <c r="CY11" s="167">
        <f>IF('Encodage réponses Es'!AW10="","",'Encodage réponses Es'!AW10)</f>
      </c>
      <c r="CZ11" s="167">
        <f>IF('Encodage réponses Es'!AX10="","",'Encodage réponses Es'!AX10)</f>
      </c>
      <c r="DA11" s="167">
        <f>IF('Encodage réponses Es'!AY10="","",'Encodage réponses Es'!AY10)</f>
      </c>
      <c r="DB11" s="167">
        <f>IF('Encodage réponses Es'!AZ10="","",'Encodage réponses Es'!AZ10)</f>
      </c>
      <c r="DC11" s="167">
        <f>IF('Encodage réponses Es'!BA10="","",'Encodage réponses Es'!BA10)</f>
      </c>
      <c r="DD11" s="167">
        <f>IF('Encodage réponses Es'!BB10="","",'Encodage réponses Es'!BB10)</f>
      </c>
      <c r="DE11" s="358">
        <f t="shared" si="25"/>
      </c>
      <c r="DF11" s="359"/>
      <c r="DG11" s="167">
        <f>IF('Encodage réponses Es'!BC10="","",'Encodage réponses Es'!BC10)</f>
      </c>
      <c r="DH11" s="167">
        <f>IF('Encodage réponses Es'!BD10="","",'Encodage réponses Es'!BD10)</f>
      </c>
      <c r="DI11" s="167">
        <f>IF('Encodage réponses Es'!BE10="","",'Encodage réponses Es'!BE10)</f>
      </c>
      <c r="DJ11" s="167">
        <f>IF('Encodage réponses Es'!BF10="","",'Encodage réponses Es'!BF10)</f>
      </c>
      <c r="DK11" s="167">
        <f>IF('Encodage réponses Es'!BG10="","",'Encodage réponses Es'!BG10)</f>
      </c>
      <c r="DL11" s="167">
        <f>IF('Encodage réponses Es'!BH10="","",'Encodage réponses Es'!BH10)</f>
      </c>
      <c r="DM11" s="167">
        <f>IF('Encodage réponses Es'!BI10="","",'Encodage réponses Es'!BI10)</f>
      </c>
      <c r="DN11" s="167">
        <f>IF('Encodage réponses Es'!BJ10="","",'Encodage réponses Es'!BJ10)</f>
      </c>
      <c r="DO11" s="167">
        <f>IF('Encodage réponses Es'!BK10="","",'Encodage réponses Es'!BK10)</f>
      </c>
      <c r="DP11" s="167">
        <f>IF('Encodage réponses Es'!BL10="","",'Encodage réponses Es'!BL10)</f>
      </c>
      <c r="DQ11" s="167">
        <f>IF('Encodage réponses Es'!BM10="","",'Encodage réponses Es'!BM10)</f>
      </c>
      <c r="DR11" s="167">
        <f>IF('Encodage réponses Es'!BN10="","",'Encodage réponses Es'!BN10)</f>
      </c>
      <c r="DS11" s="167">
        <f>IF('Encodage réponses Es'!BO10="","",'Encodage réponses Es'!BO10)</f>
      </c>
      <c r="DT11" s="167">
        <f>IF('Encodage réponses Es'!BP10="","",'Encodage réponses Es'!BP10)</f>
      </c>
      <c r="DU11" s="330">
        <f t="shared" si="26"/>
      </c>
      <c r="DV11" s="331"/>
    </row>
    <row r="12" spans="1:126" ht="11.25" customHeight="1">
      <c r="A12" s="181"/>
      <c r="B12"/>
      <c r="C12" s="278">
        <f>IF('Encodage réponses Es'!C11="","",'Encodage réponses Es'!C11)</f>
        <v>9</v>
      </c>
      <c r="D12" s="340"/>
      <c r="E12" s="291">
        <f t="shared" si="1"/>
      </c>
      <c r="F12" s="290">
        <f t="shared" si="2"/>
      </c>
      <c r="G12" s="322"/>
      <c r="H12" s="291">
        <f t="shared" si="3"/>
      </c>
      <c r="I12" s="29"/>
      <c r="J12" s="291">
        <f t="shared" si="4"/>
      </c>
      <c r="K12" s="290">
        <f t="shared" si="5"/>
      </c>
      <c r="L12" s="291">
        <f t="shared" si="6"/>
      </c>
      <c r="M12" s="290">
        <f t="shared" si="7"/>
      </c>
      <c r="N12" s="291">
        <f t="shared" si="8"/>
      </c>
      <c r="O12" s="290">
        <f t="shared" si="9"/>
      </c>
      <c r="P12" s="291">
        <f>IF(DU12="","",Résultats!DU12)</f>
      </c>
      <c r="Q12" s="292">
        <f t="shared" si="10"/>
      </c>
      <c r="R12" s="181"/>
      <c r="S12" s="284"/>
      <c r="T12" s="186">
        <f>IF('Encodage réponses Es'!E11="","",'Encodage réponses Es'!E11)</f>
      </c>
      <c r="U12" s="100">
        <f>IF('Encodage réponses Es'!J11="","",'Encodage réponses Es'!J11)</f>
      </c>
      <c r="V12" s="100">
        <f>IF('Encodage réponses Es'!AP11="","",'Encodage réponses Es'!AP11)</f>
      </c>
      <c r="W12" s="358">
        <f t="shared" si="11"/>
      </c>
      <c r="X12" s="359"/>
      <c r="Y12" s="167">
        <f>IF('Encodage réponses Es'!H11="","",'Encodage réponses Es'!H11)</f>
      </c>
      <c r="Z12" s="167">
        <f>IF('Encodage réponses Es'!I11="","",'Encodage réponses Es'!I11)</f>
      </c>
      <c r="AA12" s="167">
        <f>IF('Encodage réponses Es'!J11="","",'Encodage réponses Es'!J11)</f>
      </c>
      <c r="AB12" s="167">
        <f>IF('Encodage réponses Es'!K11="","",'Encodage réponses Es'!K11)</f>
      </c>
      <c r="AC12" s="167">
        <f>IF('Encodage réponses Es'!L11="","",'Encodage réponses Es'!L11)</f>
      </c>
      <c r="AD12" s="167">
        <f>IF('Encodage réponses Es'!Q11="","",'Encodage réponses Es'!Q11)</f>
      </c>
      <c r="AE12" s="167">
        <f>IF('Encodage réponses Es'!R11="","",'Encodage réponses Es'!R11)</f>
      </c>
      <c r="AF12" s="167">
        <f>IF('Encodage réponses Es'!S11="","",'Encodage réponses Es'!S11)</f>
      </c>
      <c r="AG12" s="167">
        <f>IF('Encodage réponses Es'!T11="","",'Encodage réponses Es'!T11)</f>
      </c>
      <c r="AH12" s="167">
        <f>IF('Encodage réponses Es'!U11="","",'Encodage réponses Es'!U11)</f>
      </c>
      <c r="AI12" s="167">
        <f>IF('Encodage réponses Es'!V11="","",'Encodage réponses Es'!V11)</f>
      </c>
      <c r="AJ12" s="167">
        <f>IF('Encodage réponses Es'!W11="","",'Encodage réponses Es'!W11)</f>
      </c>
      <c r="AK12" s="167">
        <f>IF('Encodage réponses Es'!X11="","",'Encodage réponses Es'!X11)</f>
      </c>
      <c r="AL12" s="167">
        <f>IF('Encodage réponses Es'!Y11="","",'Encodage réponses Es'!Y11)</f>
      </c>
      <c r="AM12" s="167">
        <f>IF('Encodage réponses Es'!Z11="","",'Encodage réponses Es'!Z11)</f>
      </c>
      <c r="AN12" s="167">
        <f>IF('Encodage réponses Es'!AA11="","",'Encodage réponses Es'!AA11)</f>
      </c>
      <c r="AO12" s="358">
        <f t="shared" si="12"/>
      </c>
      <c r="AP12" s="359"/>
      <c r="AQ12" s="55">
        <f t="shared" si="0"/>
      </c>
      <c r="AR12" s="55">
        <f t="shared" si="13"/>
      </c>
      <c r="AS12" s="241">
        <f>IF('Encodage réponses Es'!M11="","",'Encodage réponses Es'!M11)</f>
      </c>
      <c r="AT12" s="167">
        <f>IF('Encodage réponses Es'!N11="","",'Encodage réponses Es'!N11)</f>
      </c>
      <c r="AU12" s="167">
        <f>IF('Encodage réponses Es'!O11="","",'Encodage réponses Es'!O11)</f>
      </c>
      <c r="AV12" s="167">
        <f>IF('Encodage réponses Es'!P11="","",'Encodage réponses Es'!P11)</f>
      </c>
      <c r="AW12" s="358">
        <f t="shared" si="14"/>
      </c>
      <c r="AX12" s="359"/>
      <c r="AY12" s="167">
        <f>IF('Encodage réponses Es'!AB11="","",'Encodage réponses Es'!AB11)</f>
      </c>
      <c r="AZ12" s="167">
        <f>IF('Encodage réponses Es'!AC11="","",'Encodage réponses Es'!AC11)</f>
      </c>
      <c r="BA12" s="167">
        <f>IF('Encodage réponses Es'!AD11="","",'Encodage réponses Es'!AD11)</f>
      </c>
      <c r="BB12" s="167">
        <f>IF('Encodage réponses Es'!AE11="","",'Encodage réponses Es'!AE11)</f>
      </c>
      <c r="BC12" s="167">
        <f>IF('Encodage réponses Es'!AF11="","",'Encodage réponses Es'!AF11)</f>
      </c>
      <c r="BD12" s="167">
        <f>IF('Encodage réponses Es'!AG11="","",'Encodage réponses Es'!AG11)</f>
      </c>
      <c r="BE12" s="167">
        <f>IF('Encodage réponses Es'!AH11="","",'Encodage réponses Es'!AH11)</f>
      </c>
      <c r="BF12" s="167">
        <f>IF('Encodage réponses Es'!AI11="","",'Encodage réponses Es'!AI11)</f>
      </c>
      <c r="BG12" s="55">
        <f t="shared" si="15"/>
      </c>
      <c r="BH12" s="221">
        <f t="shared" si="16"/>
      </c>
      <c r="BI12" s="150">
        <f t="shared" si="17"/>
      </c>
      <c r="BJ12" s="54">
        <f t="shared" si="18"/>
      </c>
      <c r="BK12" s="167">
        <f>IF('Encodage réponses Es'!BQ11="","",'Encodage réponses Es'!BQ11)</f>
      </c>
      <c r="BL12" s="167">
        <f>IF('Encodage réponses Es'!BR11="","",'Encodage réponses Es'!BR11)</f>
      </c>
      <c r="BM12" s="167">
        <f>IF('Encodage réponses Es'!BS11="","",'Encodage réponses Es'!BS11)</f>
      </c>
      <c r="BN12" s="167">
        <f>IF('Encodage réponses Es'!BT11="","",'Encodage réponses Es'!BT11)</f>
      </c>
      <c r="BO12" s="289"/>
      <c r="BP12" s="358">
        <f t="shared" si="19"/>
      </c>
      <c r="BQ12" s="359"/>
      <c r="BR12" s="167">
        <f>IF('Encodage réponses Es'!BV11="","",'Encodage réponses Es'!BV11)</f>
      </c>
      <c r="BS12" s="167">
        <f>IF('Encodage réponses Es'!BW11="","",'Encodage réponses Es'!BW11)</f>
      </c>
      <c r="BT12" s="167">
        <f>IF('Encodage réponses Es'!BX11="","",'Encodage réponses Es'!BX11)</f>
      </c>
      <c r="BU12" s="167">
        <f>IF('Encodage réponses Es'!BY11="","",'Encodage réponses Es'!BY11)</f>
      </c>
      <c r="BV12" s="167">
        <f>IF('Encodage réponses Es'!BZ11="","",'Encodage réponses Es'!BZ11)</f>
      </c>
      <c r="BW12" s="251">
        <f t="shared" si="20"/>
      </c>
      <c r="BX12" s="221">
        <f t="shared" si="21"/>
      </c>
      <c r="BY12" s="167">
        <f>IF('Encodage réponses Es'!CF11="","",'Encodage réponses Es'!CF11)</f>
      </c>
      <c r="BZ12" s="167">
        <f>IF('Encodage réponses Es'!CG11="","",'Encodage réponses Es'!CG11)</f>
      </c>
      <c r="CA12" s="358">
        <f t="shared" si="22"/>
      </c>
      <c r="CB12" s="359"/>
      <c r="CC12" s="167">
        <f>IF('Encodage réponses Es'!CA11="","",'Encodage réponses Es'!CA11)</f>
      </c>
      <c r="CD12" s="167">
        <f>IF('Encodage réponses Es'!CB11="","",'Encodage réponses Es'!CB11)</f>
      </c>
      <c r="CE12" s="167">
        <f>IF('Encodage réponses Es'!CC11="","",'Encodage réponses Es'!CC11)</f>
      </c>
      <c r="CF12" s="167">
        <f>IF('Encodage réponses Es'!CD11="","",'Encodage réponses Es'!CD11)</f>
      </c>
      <c r="CG12" s="167">
        <f>IF('Encodage réponses Es'!CE11="","",'Encodage réponses Es'!CE11)</f>
      </c>
      <c r="CH12" s="330">
        <f t="shared" si="23"/>
      </c>
      <c r="CI12" s="331"/>
      <c r="CJ12" s="167">
        <f>IF('Encodage réponses Es'!AJ11="","",'Encodage réponses Es'!AJ11)</f>
      </c>
      <c r="CK12" s="167">
        <f>IF('Encodage réponses Es'!AK11="","",'Encodage réponses Es'!AK11)</f>
      </c>
      <c r="CL12" s="167">
        <f>IF('Encodage réponses Es'!AL11="","",'Encodage réponses Es'!AL11)</f>
      </c>
      <c r="CM12" s="167">
        <f>IF('Encodage réponses Es'!AM11="","",'Encodage réponses Es'!AM11)</f>
      </c>
      <c r="CN12" s="167">
        <f>IF('Encodage réponses Es'!AN11="","",'Encodage réponses Es'!AN11)</f>
      </c>
      <c r="CO12" s="167">
        <f>IF('Encodage réponses Es'!AO11="","",'Encodage réponses Es'!AO11)</f>
      </c>
      <c r="CP12" s="167">
        <f>IF('Encodage réponses Es'!AP11="","",'Encodage réponses Es'!AP11)</f>
      </c>
      <c r="CQ12" s="167">
        <f>IF('Encodage réponses Es'!AQ11="","",'Encodage réponses Es'!AQ11)</f>
      </c>
      <c r="CR12" s="167">
        <f>IF('Encodage réponses Es'!AR11="","",'Encodage réponses Es'!AR11)</f>
      </c>
      <c r="CS12" s="167">
        <f>IF('Encodage réponses Es'!AS11="","",'Encodage réponses Es'!AS11)</f>
      </c>
      <c r="CT12" s="167">
        <f>IF('Encodage réponses Es'!AT11="","",'Encodage réponses Es'!AT11)</f>
      </c>
      <c r="CU12" s="167">
        <f>IF('Encodage réponses Es'!AU11="","",'Encodage réponses Es'!AU11)</f>
      </c>
      <c r="CV12" s="358">
        <f t="shared" si="24"/>
      </c>
      <c r="CW12" s="359"/>
      <c r="CX12" s="167">
        <f>IF('Encodage réponses Es'!AV11="","",'Encodage réponses Es'!AV11)</f>
      </c>
      <c r="CY12" s="167">
        <f>IF('Encodage réponses Es'!AW11="","",'Encodage réponses Es'!AW11)</f>
      </c>
      <c r="CZ12" s="167">
        <f>IF('Encodage réponses Es'!AX11="","",'Encodage réponses Es'!AX11)</f>
      </c>
      <c r="DA12" s="167">
        <f>IF('Encodage réponses Es'!AY11="","",'Encodage réponses Es'!AY11)</f>
      </c>
      <c r="DB12" s="167">
        <f>IF('Encodage réponses Es'!AZ11="","",'Encodage réponses Es'!AZ11)</f>
      </c>
      <c r="DC12" s="167">
        <f>IF('Encodage réponses Es'!BA11="","",'Encodage réponses Es'!BA11)</f>
      </c>
      <c r="DD12" s="167">
        <f>IF('Encodage réponses Es'!BB11="","",'Encodage réponses Es'!BB11)</f>
      </c>
      <c r="DE12" s="358">
        <f t="shared" si="25"/>
      </c>
      <c r="DF12" s="359"/>
      <c r="DG12" s="167">
        <f>IF('Encodage réponses Es'!BC11="","",'Encodage réponses Es'!BC11)</f>
      </c>
      <c r="DH12" s="167">
        <f>IF('Encodage réponses Es'!BD11="","",'Encodage réponses Es'!BD11)</f>
      </c>
      <c r="DI12" s="167">
        <f>IF('Encodage réponses Es'!BE11="","",'Encodage réponses Es'!BE11)</f>
      </c>
      <c r="DJ12" s="167">
        <f>IF('Encodage réponses Es'!BF11="","",'Encodage réponses Es'!BF11)</f>
      </c>
      <c r="DK12" s="167">
        <f>IF('Encodage réponses Es'!BG11="","",'Encodage réponses Es'!BG11)</f>
      </c>
      <c r="DL12" s="167">
        <f>IF('Encodage réponses Es'!BH11="","",'Encodage réponses Es'!BH11)</f>
      </c>
      <c r="DM12" s="167">
        <f>IF('Encodage réponses Es'!BI11="","",'Encodage réponses Es'!BI11)</f>
      </c>
      <c r="DN12" s="167">
        <f>IF('Encodage réponses Es'!BJ11="","",'Encodage réponses Es'!BJ11)</f>
      </c>
      <c r="DO12" s="167">
        <f>IF('Encodage réponses Es'!BK11="","",'Encodage réponses Es'!BK11)</f>
      </c>
      <c r="DP12" s="167">
        <f>IF('Encodage réponses Es'!BL11="","",'Encodage réponses Es'!BL11)</f>
      </c>
      <c r="DQ12" s="167">
        <f>IF('Encodage réponses Es'!BM11="","",'Encodage réponses Es'!BM11)</f>
      </c>
      <c r="DR12" s="167">
        <f>IF('Encodage réponses Es'!BN11="","",'Encodage réponses Es'!BN11)</f>
      </c>
      <c r="DS12" s="167">
        <f>IF('Encodage réponses Es'!BO11="","",'Encodage réponses Es'!BO11)</f>
      </c>
      <c r="DT12" s="167">
        <f>IF('Encodage réponses Es'!BP11="","",'Encodage réponses Es'!BP11)</f>
      </c>
      <c r="DU12" s="330">
        <f t="shared" si="26"/>
      </c>
      <c r="DV12" s="331"/>
    </row>
    <row r="13" spans="1:126" ht="11.25" customHeight="1">
      <c r="A13" s="181"/>
      <c r="B13"/>
      <c r="C13" s="278">
        <f>IF('Encodage réponses Es'!C12="","",'Encodage réponses Es'!C12)</f>
        <v>10</v>
      </c>
      <c r="D13" s="340"/>
      <c r="E13" s="291">
        <f t="shared" si="1"/>
      </c>
      <c r="F13" s="290">
        <f t="shared" si="2"/>
      </c>
      <c r="G13" s="322"/>
      <c r="H13" s="291">
        <f t="shared" si="3"/>
      </c>
      <c r="I13" s="29"/>
      <c r="J13" s="291">
        <f t="shared" si="4"/>
      </c>
      <c r="K13" s="290">
        <f t="shared" si="5"/>
      </c>
      <c r="L13" s="291">
        <f t="shared" si="6"/>
      </c>
      <c r="M13" s="290">
        <f t="shared" si="7"/>
      </c>
      <c r="N13" s="291">
        <f t="shared" si="8"/>
      </c>
      <c r="O13" s="290">
        <f t="shared" si="9"/>
      </c>
      <c r="P13" s="291">
        <f>IF(DU13="","",Résultats!DU13)</f>
      </c>
      <c r="Q13" s="292">
        <f t="shared" si="10"/>
      </c>
      <c r="R13" s="181"/>
      <c r="S13" s="284"/>
      <c r="T13" s="186">
        <f>IF('Encodage réponses Es'!E12="","",'Encodage réponses Es'!E12)</f>
      </c>
      <c r="U13" s="100">
        <f>IF('Encodage réponses Es'!J12="","",'Encodage réponses Es'!J12)</f>
      </c>
      <c r="V13" s="100">
        <f>IF('Encodage réponses Es'!AP12="","",'Encodage réponses Es'!AP12)</f>
      </c>
      <c r="W13" s="358">
        <f t="shared" si="11"/>
      </c>
      <c r="X13" s="359"/>
      <c r="Y13" s="167">
        <f>IF('Encodage réponses Es'!H12="","",'Encodage réponses Es'!H12)</f>
      </c>
      <c r="Z13" s="167">
        <f>IF('Encodage réponses Es'!I12="","",'Encodage réponses Es'!I12)</f>
      </c>
      <c r="AA13" s="167">
        <f>IF('Encodage réponses Es'!J12="","",'Encodage réponses Es'!J12)</f>
      </c>
      <c r="AB13" s="167">
        <f>IF('Encodage réponses Es'!K12="","",'Encodage réponses Es'!K12)</f>
      </c>
      <c r="AC13" s="167">
        <f>IF('Encodage réponses Es'!L12="","",'Encodage réponses Es'!L12)</f>
      </c>
      <c r="AD13" s="167">
        <f>IF('Encodage réponses Es'!Q12="","",'Encodage réponses Es'!Q12)</f>
      </c>
      <c r="AE13" s="167">
        <f>IF('Encodage réponses Es'!R12="","",'Encodage réponses Es'!R12)</f>
      </c>
      <c r="AF13" s="167">
        <f>IF('Encodage réponses Es'!S12="","",'Encodage réponses Es'!S12)</f>
      </c>
      <c r="AG13" s="167">
        <f>IF('Encodage réponses Es'!T12="","",'Encodage réponses Es'!T12)</f>
      </c>
      <c r="AH13" s="167">
        <f>IF('Encodage réponses Es'!U12="","",'Encodage réponses Es'!U12)</f>
      </c>
      <c r="AI13" s="167">
        <f>IF('Encodage réponses Es'!V12="","",'Encodage réponses Es'!V12)</f>
      </c>
      <c r="AJ13" s="167">
        <f>IF('Encodage réponses Es'!W12="","",'Encodage réponses Es'!W12)</f>
      </c>
      <c r="AK13" s="167">
        <f>IF('Encodage réponses Es'!X12="","",'Encodage réponses Es'!X12)</f>
      </c>
      <c r="AL13" s="167">
        <f>IF('Encodage réponses Es'!Y12="","",'Encodage réponses Es'!Y12)</f>
      </c>
      <c r="AM13" s="167">
        <f>IF('Encodage réponses Es'!Z12="","",'Encodage réponses Es'!Z12)</f>
      </c>
      <c r="AN13" s="167">
        <f>IF('Encodage réponses Es'!AA12="","",'Encodage réponses Es'!AA12)</f>
      </c>
      <c r="AO13" s="358">
        <f t="shared" si="12"/>
      </c>
      <c r="AP13" s="359"/>
      <c r="AQ13" s="55">
        <f t="shared" si="0"/>
      </c>
      <c r="AR13" s="55">
        <f t="shared" si="13"/>
      </c>
      <c r="AS13" s="241">
        <f>IF('Encodage réponses Es'!M12="","",'Encodage réponses Es'!M12)</f>
      </c>
      <c r="AT13" s="167">
        <f>IF('Encodage réponses Es'!N12="","",'Encodage réponses Es'!N12)</f>
      </c>
      <c r="AU13" s="167">
        <f>IF('Encodage réponses Es'!O12="","",'Encodage réponses Es'!O12)</f>
      </c>
      <c r="AV13" s="167">
        <f>IF('Encodage réponses Es'!P12="","",'Encodage réponses Es'!P12)</f>
      </c>
      <c r="AW13" s="358">
        <f t="shared" si="14"/>
      </c>
      <c r="AX13" s="359"/>
      <c r="AY13" s="167">
        <f>IF('Encodage réponses Es'!AB12="","",'Encodage réponses Es'!AB12)</f>
      </c>
      <c r="AZ13" s="167">
        <f>IF('Encodage réponses Es'!AC12="","",'Encodage réponses Es'!AC12)</f>
      </c>
      <c r="BA13" s="167">
        <f>IF('Encodage réponses Es'!AD12="","",'Encodage réponses Es'!AD12)</f>
      </c>
      <c r="BB13" s="167">
        <f>IF('Encodage réponses Es'!AE12="","",'Encodage réponses Es'!AE12)</f>
      </c>
      <c r="BC13" s="167">
        <f>IF('Encodage réponses Es'!AF12="","",'Encodage réponses Es'!AF12)</f>
      </c>
      <c r="BD13" s="167">
        <f>IF('Encodage réponses Es'!AG12="","",'Encodage réponses Es'!AG12)</f>
      </c>
      <c r="BE13" s="167">
        <f>IF('Encodage réponses Es'!AH12="","",'Encodage réponses Es'!AH12)</f>
      </c>
      <c r="BF13" s="167">
        <f>IF('Encodage réponses Es'!AI12="","",'Encodage réponses Es'!AI12)</f>
      </c>
      <c r="BG13" s="55">
        <f t="shared" si="15"/>
      </c>
      <c r="BH13" s="221">
        <f t="shared" si="16"/>
      </c>
      <c r="BI13" s="150">
        <f t="shared" si="17"/>
      </c>
      <c r="BJ13" s="54">
        <f t="shared" si="18"/>
      </c>
      <c r="BK13" s="167">
        <f>IF('Encodage réponses Es'!BQ12="","",'Encodage réponses Es'!BQ12)</f>
      </c>
      <c r="BL13" s="167">
        <f>IF('Encodage réponses Es'!BR12="","",'Encodage réponses Es'!BR12)</f>
      </c>
      <c r="BM13" s="167">
        <f>IF('Encodage réponses Es'!BS12="","",'Encodage réponses Es'!BS12)</f>
      </c>
      <c r="BN13" s="167">
        <f>IF('Encodage réponses Es'!BT12="","",'Encodage réponses Es'!BT12)</f>
      </c>
      <c r="BO13" s="289"/>
      <c r="BP13" s="358">
        <f t="shared" si="19"/>
      </c>
      <c r="BQ13" s="359"/>
      <c r="BR13" s="167">
        <f>IF('Encodage réponses Es'!BV12="","",'Encodage réponses Es'!BV12)</f>
      </c>
      <c r="BS13" s="167">
        <f>IF('Encodage réponses Es'!BW12="","",'Encodage réponses Es'!BW12)</f>
      </c>
      <c r="BT13" s="167">
        <f>IF('Encodage réponses Es'!BX12="","",'Encodage réponses Es'!BX12)</f>
      </c>
      <c r="BU13" s="167">
        <f>IF('Encodage réponses Es'!BY12="","",'Encodage réponses Es'!BY12)</f>
      </c>
      <c r="BV13" s="167">
        <f>IF('Encodage réponses Es'!BZ12="","",'Encodage réponses Es'!BZ12)</f>
      </c>
      <c r="BW13" s="251">
        <f t="shared" si="20"/>
      </c>
      <c r="BX13" s="221">
        <f t="shared" si="21"/>
      </c>
      <c r="BY13" s="167">
        <f>IF('Encodage réponses Es'!CF12="","",'Encodage réponses Es'!CF12)</f>
      </c>
      <c r="BZ13" s="167">
        <f>IF('Encodage réponses Es'!CG12="","",'Encodage réponses Es'!CG12)</f>
      </c>
      <c r="CA13" s="358">
        <f t="shared" si="22"/>
      </c>
      <c r="CB13" s="359"/>
      <c r="CC13" s="167">
        <f>IF('Encodage réponses Es'!CA12="","",'Encodage réponses Es'!CA12)</f>
      </c>
      <c r="CD13" s="167">
        <f>IF('Encodage réponses Es'!CB12="","",'Encodage réponses Es'!CB12)</f>
      </c>
      <c r="CE13" s="167">
        <f>IF('Encodage réponses Es'!CC12="","",'Encodage réponses Es'!CC12)</f>
      </c>
      <c r="CF13" s="167">
        <f>IF('Encodage réponses Es'!CD12="","",'Encodage réponses Es'!CD12)</f>
      </c>
      <c r="CG13" s="167">
        <f>IF('Encodage réponses Es'!CE12="","",'Encodage réponses Es'!CE12)</f>
      </c>
      <c r="CH13" s="330">
        <f t="shared" si="23"/>
      </c>
      <c r="CI13" s="331"/>
      <c r="CJ13" s="167">
        <f>IF('Encodage réponses Es'!AJ12="","",'Encodage réponses Es'!AJ12)</f>
      </c>
      <c r="CK13" s="167">
        <f>IF('Encodage réponses Es'!AK12="","",'Encodage réponses Es'!AK12)</f>
      </c>
      <c r="CL13" s="167">
        <f>IF('Encodage réponses Es'!AL12="","",'Encodage réponses Es'!AL12)</f>
      </c>
      <c r="CM13" s="167">
        <f>IF('Encodage réponses Es'!AM12="","",'Encodage réponses Es'!AM12)</f>
      </c>
      <c r="CN13" s="167">
        <f>IF('Encodage réponses Es'!AN12="","",'Encodage réponses Es'!AN12)</f>
      </c>
      <c r="CO13" s="167">
        <f>IF('Encodage réponses Es'!AO12="","",'Encodage réponses Es'!AO12)</f>
      </c>
      <c r="CP13" s="167">
        <f>IF('Encodage réponses Es'!AP12="","",'Encodage réponses Es'!AP12)</f>
      </c>
      <c r="CQ13" s="167">
        <f>IF('Encodage réponses Es'!AQ12="","",'Encodage réponses Es'!AQ12)</f>
      </c>
      <c r="CR13" s="167">
        <f>IF('Encodage réponses Es'!AR12="","",'Encodage réponses Es'!AR12)</f>
      </c>
      <c r="CS13" s="167">
        <f>IF('Encodage réponses Es'!AS12="","",'Encodage réponses Es'!AS12)</f>
      </c>
      <c r="CT13" s="167">
        <f>IF('Encodage réponses Es'!AT12="","",'Encodage réponses Es'!AT12)</f>
      </c>
      <c r="CU13" s="167">
        <f>IF('Encodage réponses Es'!AU12="","",'Encodage réponses Es'!AU12)</f>
      </c>
      <c r="CV13" s="358">
        <f t="shared" si="24"/>
      </c>
      <c r="CW13" s="359"/>
      <c r="CX13" s="167">
        <f>IF('Encodage réponses Es'!AV12="","",'Encodage réponses Es'!AV12)</f>
      </c>
      <c r="CY13" s="167">
        <f>IF('Encodage réponses Es'!AW12="","",'Encodage réponses Es'!AW12)</f>
      </c>
      <c r="CZ13" s="167">
        <f>IF('Encodage réponses Es'!AX12="","",'Encodage réponses Es'!AX12)</f>
      </c>
      <c r="DA13" s="167">
        <f>IF('Encodage réponses Es'!AY12="","",'Encodage réponses Es'!AY12)</f>
      </c>
      <c r="DB13" s="167">
        <f>IF('Encodage réponses Es'!AZ12="","",'Encodage réponses Es'!AZ12)</f>
      </c>
      <c r="DC13" s="167">
        <f>IF('Encodage réponses Es'!BA12="","",'Encodage réponses Es'!BA12)</f>
      </c>
      <c r="DD13" s="167">
        <f>IF('Encodage réponses Es'!BB12="","",'Encodage réponses Es'!BB12)</f>
      </c>
      <c r="DE13" s="358">
        <f t="shared" si="25"/>
      </c>
      <c r="DF13" s="359"/>
      <c r="DG13" s="167">
        <f>IF('Encodage réponses Es'!BC12="","",'Encodage réponses Es'!BC12)</f>
      </c>
      <c r="DH13" s="167">
        <f>IF('Encodage réponses Es'!BD12="","",'Encodage réponses Es'!BD12)</f>
      </c>
      <c r="DI13" s="167">
        <f>IF('Encodage réponses Es'!BE12="","",'Encodage réponses Es'!BE12)</f>
      </c>
      <c r="DJ13" s="167">
        <f>IF('Encodage réponses Es'!BF12="","",'Encodage réponses Es'!BF12)</f>
      </c>
      <c r="DK13" s="167">
        <f>IF('Encodage réponses Es'!BG12="","",'Encodage réponses Es'!BG12)</f>
      </c>
      <c r="DL13" s="167">
        <f>IF('Encodage réponses Es'!BH12="","",'Encodage réponses Es'!BH12)</f>
      </c>
      <c r="DM13" s="167">
        <f>IF('Encodage réponses Es'!BI12="","",'Encodage réponses Es'!BI12)</f>
      </c>
      <c r="DN13" s="167">
        <f>IF('Encodage réponses Es'!BJ12="","",'Encodage réponses Es'!BJ12)</f>
      </c>
      <c r="DO13" s="167">
        <f>IF('Encodage réponses Es'!BK12="","",'Encodage réponses Es'!BK12)</f>
      </c>
      <c r="DP13" s="167">
        <f>IF('Encodage réponses Es'!BL12="","",'Encodage réponses Es'!BL12)</f>
      </c>
      <c r="DQ13" s="167">
        <f>IF('Encodage réponses Es'!BM12="","",'Encodage réponses Es'!BM12)</f>
      </c>
      <c r="DR13" s="167">
        <f>IF('Encodage réponses Es'!BN12="","",'Encodage réponses Es'!BN12)</f>
      </c>
      <c r="DS13" s="167">
        <f>IF('Encodage réponses Es'!BO12="","",'Encodage réponses Es'!BO12)</f>
      </c>
      <c r="DT13" s="167">
        <f>IF('Encodage réponses Es'!BP12="","",'Encodage réponses Es'!BP12)</f>
      </c>
      <c r="DU13" s="330">
        <f t="shared" si="26"/>
      </c>
      <c r="DV13" s="331"/>
    </row>
    <row r="14" spans="1:126" ht="11.25" customHeight="1">
      <c r="A14" s="181"/>
      <c r="B14"/>
      <c r="C14" s="278">
        <f>IF('Encodage réponses Es'!C13="","",'Encodage réponses Es'!C13)</f>
        <v>11</v>
      </c>
      <c r="D14" s="340"/>
      <c r="E14" s="291">
        <f t="shared" si="1"/>
      </c>
      <c r="F14" s="290">
        <f t="shared" si="2"/>
      </c>
      <c r="G14" s="322"/>
      <c r="H14" s="291">
        <f t="shared" si="3"/>
      </c>
      <c r="I14" s="29"/>
      <c r="J14" s="291">
        <f t="shared" si="4"/>
      </c>
      <c r="K14" s="290">
        <f t="shared" si="5"/>
      </c>
      <c r="L14" s="291">
        <f t="shared" si="6"/>
      </c>
      <c r="M14" s="290">
        <f t="shared" si="7"/>
      </c>
      <c r="N14" s="291">
        <f t="shared" si="8"/>
      </c>
      <c r="O14" s="290">
        <f t="shared" si="9"/>
      </c>
      <c r="P14" s="291">
        <f>IF(DU14="","",Résultats!DU14)</f>
      </c>
      <c r="Q14" s="292">
        <f t="shared" si="10"/>
      </c>
      <c r="R14" s="181"/>
      <c r="S14" s="284"/>
      <c r="T14" s="186">
        <f>IF('Encodage réponses Es'!E13="","",'Encodage réponses Es'!E13)</f>
      </c>
      <c r="U14" s="100">
        <f>IF('Encodage réponses Es'!J13="","",'Encodage réponses Es'!J13)</f>
      </c>
      <c r="V14" s="100">
        <f>IF('Encodage réponses Es'!AP13="","",'Encodage réponses Es'!AP13)</f>
      </c>
      <c r="W14" s="358">
        <f t="shared" si="11"/>
      </c>
      <c r="X14" s="359"/>
      <c r="Y14" s="167">
        <f>IF('Encodage réponses Es'!H13="","",'Encodage réponses Es'!H13)</f>
      </c>
      <c r="Z14" s="167">
        <f>IF('Encodage réponses Es'!I13="","",'Encodage réponses Es'!I13)</f>
      </c>
      <c r="AA14" s="167">
        <f>IF('Encodage réponses Es'!J13="","",'Encodage réponses Es'!J13)</f>
      </c>
      <c r="AB14" s="167">
        <f>IF('Encodage réponses Es'!K13="","",'Encodage réponses Es'!K13)</f>
      </c>
      <c r="AC14" s="167">
        <f>IF('Encodage réponses Es'!L13="","",'Encodage réponses Es'!L13)</f>
      </c>
      <c r="AD14" s="167">
        <f>IF('Encodage réponses Es'!Q13="","",'Encodage réponses Es'!Q13)</f>
      </c>
      <c r="AE14" s="167">
        <f>IF('Encodage réponses Es'!R13="","",'Encodage réponses Es'!R13)</f>
      </c>
      <c r="AF14" s="167">
        <f>IF('Encodage réponses Es'!S13="","",'Encodage réponses Es'!S13)</f>
      </c>
      <c r="AG14" s="167">
        <f>IF('Encodage réponses Es'!T13="","",'Encodage réponses Es'!T13)</f>
      </c>
      <c r="AH14" s="167">
        <f>IF('Encodage réponses Es'!U13="","",'Encodage réponses Es'!U13)</f>
      </c>
      <c r="AI14" s="167">
        <f>IF('Encodage réponses Es'!V13="","",'Encodage réponses Es'!V13)</f>
      </c>
      <c r="AJ14" s="167">
        <f>IF('Encodage réponses Es'!W13="","",'Encodage réponses Es'!W13)</f>
      </c>
      <c r="AK14" s="167">
        <f>IF('Encodage réponses Es'!X13="","",'Encodage réponses Es'!X13)</f>
      </c>
      <c r="AL14" s="167">
        <f>IF('Encodage réponses Es'!Y13="","",'Encodage réponses Es'!Y13)</f>
      </c>
      <c r="AM14" s="167">
        <f>IF('Encodage réponses Es'!Z13="","",'Encodage réponses Es'!Z13)</f>
      </c>
      <c r="AN14" s="167">
        <f>IF('Encodage réponses Es'!AA13="","",'Encodage réponses Es'!AA13)</f>
      </c>
      <c r="AO14" s="358">
        <f t="shared" si="12"/>
      </c>
      <c r="AP14" s="359"/>
      <c r="AQ14" s="55">
        <f t="shared" si="0"/>
      </c>
      <c r="AR14" s="55">
        <f t="shared" si="13"/>
      </c>
      <c r="AS14" s="241">
        <f>IF('Encodage réponses Es'!M13="","",'Encodage réponses Es'!M13)</f>
      </c>
      <c r="AT14" s="167">
        <f>IF('Encodage réponses Es'!N13="","",'Encodage réponses Es'!N13)</f>
      </c>
      <c r="AU14" s="167">
        <f>IF('Encodage réponses Es'!O13="","",'Encodage réponses Es'!O13)</f>
      </c>
      <c r="AV14" s="167">
        <f>IF('Encodage réponses Es'!P13="","",'Encodage réponses Es'!P13)</f>
      </c>
      <c r="AW14" s="358">
        <f t="shared" si="14"/>
      </c>
      <c r="AX14" s="359"/>
      <c r="AY14" s="167">
        <f>IF('Encodage réponses Es'!AB13="","",'Encodage réponses Es'!AB13)</f>
      </c>
      <c r="AZ14" s="167">
        <f>IF('Encodage réponses Es'!AC13="","",'Encodage réponses Es'!AC13)</f>
      </c>
      <c r="BA14" s="167">
        <f>IF('Encodage réponses Es'!AD13="","",'Encodage réponses Es'!AD13)</f>
      </c>
      <c r="BB14" s="167">
        <f>IF('Encodage réponses Es'!AE13="","",'Encodage réponses Es'!AE13)</f>
      </c>
      <c r="BC14" s="167">
        <f>IF('Encodage réponses Es'!AF13="","",'Encodage réponses Es'!AF13)</f>
      </c>
      <c r="BD14" s="167">
        <f>IF('Encodage réponses Es'!AG13="","",'Encodage réponses Es'!AG13)</f>
      </c>
      <c r="BE14" s="167">
        <f>IF('Encodage réponses Es'!AH13="","",'Encodage réponses Es'!AH13)</f>
      </c>
      <c r="BF14" s="167">
        <f>IF('Encodage réponses Es'!AI13="","",'Encodage réponses Es'!AI13)</f>
      </c>
      <c r="BG14" s="55">
        <f t="shared" si="15"/>
      </c>
      <c r="BH14" s="221">
        <f t="shared" si="16"/>
      </c>
      <c r="BI14" s="150">
        <f t="shared" si="17"/>
      </c>
      <c r="BJ14" s="54">
        <f t="shared" si="18"/>
      </c>
      <c r="BK14" s="167">
        <f>IF('Encodage réponses Es'!BQ13="","",'Encodage réponses Es'!BQ13)</f>
      </c>
      <c r="BL14" s="167">
        <f>IF('Encodage réponses Es'!BR13="","",'Encodage réponses Es'!BR13)</f>
      </c>
      <c r="BM14" s="167">
        <f>IF('Encodage réponses Es'!BS13="","",'Encodage réponses Es'!BS13)</f>
      </c>
      <c r="BN14" s="167">
        <f>IF('Encodage réponses Es'!BT13="","",'Encodage réponses Es'!BT13)</f>
      </c>
      <c r="BO14" s="289"/>
      <c r="BP14" s="358">
        <f t="shared" si="19"/>
      </c>
      <c r="BQ14" s="359"/>
      <c r="BR14" s="167">
        <f>IF('Encodage réponses Es'!BV13="","",'Encodage réponses Es'!BV13)</f>
      </c>
      <c r="BS14" s="167">
        <f>IF('Encodage réponses Es'!BW13="","",'Encodage réponses Es'!BW13)</f>
      </c>
      <c r="BT14" s="167">
        <f>IF('Encodage réponses Es'!BX13="","",'Encodage réponses Es'!BX13)</f>
      </c>
      <c r="BU14" s="167">
        <f>IF('Encodage réponses Es'!BY13="","",'Encodage réponses Es'!BY13)</f>
      </c>
      <c r="BV14" s="167">
        <f>IF('Encodage réponses Es'!BZ13="","",'Encodage réponses Es'!BZ13)</f>
      </c>
      <c r="BW14" s="251">
        <f t="shared" si="20"/>
      </c>
      <c r="BX14" s="221">
        <f t="shared" si="21"/>
      </c>
      <c r="BY14" s="167">
        <f>IF('Encodage réponses Es'!CF13="","",'Encodage réponses Es'!CF13)</f>
      </c>
      <c r="BZ14" s="167">
        <f>IF('Encodage réponses Es'!CG13="","",'Encodage réponses Es'!CG13)</f>
      </c>
      <c r="CA14" s="358">
        <f t="shared" si="22"/>
      </c>
      <c r="CB14" s="359"/>
      <c r="CC14" s="167">
        <f>IF('Encodage réponses Es'!CA13="","",'Encodage réponses Es'!CA13)</f>
      </c>
      <c r="CD14" s="167">
        <f>IF('Encodage réponses Es'!CB13="","",'Encodage réponses Es'!CB13)</f>
      </c>
      <c r="CE14" s="167">
        <f>IF('Encodage réponses Es'!CC13="","",'Encodage réponses Es'!CC13)</f>
      </c>
      <c r="CF14" s="167">
        <f>IF('Encodage réponses Es'!CD13="","",'Encodage réponses Es'!CD13)</f>
      </c>
      <c r="CG14" s="167">
        <f>IF('Encodage réponses Es'!CE13="","",'Encodage réponses Es'!CE13)</f>
      </c>
      <c r="CH14" s="330">
        <f t="shared" si="23"/>
      </c>
      <c r="CI14" s="331"/>
      <c r="CJ14" s="167">
        <f>IF('Encodage réponses Es'!AJ13="","",'Encodage réponses Es'!AJ13)</f>
      </c>
      <c r="CK14" s="167">
        <f>IF('Encodage réponses Es'!AK13="","",'Encodage réponses Es'!AK13)</f>
      </c>
      <c r="CL14" s="167">
        <f>IF('Encodage réponses Es'!AL13="","",'Encodage réponses Es'!AL13)</f>
      </c>
      <c r="CM14" s="167">
        <f>IF('Encodage réponses Es'!AM13="","",'Encodage réponses Es'!AM13)</f>
      </c>
      <c r="CN14" s="167">
        <f>IF('Encodage réponses Es'!AN13="","",'Encodage réponses Es'!AN13)</f>
      </c>
      <c r="CO14" s="167">
        <f>IF('Encodage réponses Es'!AO13="","",'Encodage réponses Es'!AO13)</f>
      </c>
      <c r="CP14" s="167">
        <f>IF('Encodage réponses Es'!AP13="","",'Encodage réponses Es'!AP13)</f>
      </c>
      <c r="CQ14" s="167">
        <f>IF('Encodage réponses Es'!AQ13="","",'Encodage réponses Es'!AQ13)</f>
      </c>
      <c r="CR14" s="167">
        <f>IF('Encodage réponses Es'!AR13="","",'Encodage réponses Es'!AR13)</f>
      </c>
      <c r="CS14" s="167">
        <f>IF('Encodage réponses Es'!AS13="","",'Encodage réponses Es'!AS13)</f>
      </c>
      <c r="CT14" s="167">
        <f>IF('Encodage réponses Es'!AT13="","",'Encodage réponses Es'!AT13)</f>
      </c>
      <c r="CU14" s="167">
        <f>IF('Encodage réponses Es'!AU13="","",'Encodage réponses Es'!AU13)</f>
      </c>
      <c r="CV14" s="358">
        <f t="shared" si="24"/>
      </c>
      <c r="CW14" s="359"/>
      <c r="CX14" s="167">
        <f>IF('Encodage réponses Es'!AV13="","",'Encodage réponses Es'!AV13)</f>
      </c>
      <c r="CY14" s="167">
        <f>IF('Encodage réponses Es'!AW13="","",'Encodage réponses Es'!AW13)</f>
      </c>
      <c r="CZ14" s="167">
        <f>IF('Encodage réponses Es'!AX13="","",'Encodage réponses Es'!AX13)</f>
      </c>
      <c r="DA14" s="167">
        <f>IF('Encodage réponses Es'!AY13="","",'Encodage réponses Es'!AY13)</f>
      </c>
      <c r="DB14" s="167">
        <f>IF('Encodage réponses Es'!AZ13="","",'Encodage réponses Es'!AZ13)</f>
      </c>
      <c r="DC14" s="167">
        <f>IF('Encodage réponses Es'!BA13="","",'Encodage réponses Es'!BA13)</f>
      </c>
      <c r="DD14" s="167">
        <f>IF('Encodage réponses Es'!BB13="","",'Encodage réponses Es'!BB13)</f>
      </c>
      <c r="DE14" s="358">
        <f t="shared" si="25"/>
      </c>
      <c r="DF14" s="359"/>
      <c r="DG14" s="167">
        <f>IF('Encodage réponses Es'!BC13="","",'Encodage réponses Es'!BC13)</f>
      </c>
      <c r="DH14" s="167">
        <f>IF('Encodage réponses Es'!BD13="","",'Encodage réponses Es'!BD13)</f>
      </c>
      <c r="DI14" s="167">
        <f>IF('Encodage réponses Es'!BE13="","",'Encodage réponses Es'!BE13)</f>
      </c>
      <c r="DJ14" s="167">
        <f>IF('Encodage réponses Es'!BF13="","",'Encodage réponses Es'!BF13)</f>
      </c>
      <c r="DK14" s="167">
        <f>IF('Encodage réponses Es'!BG13="","",'Encodage réponses Es'!BG13)</f>
      </c>
      <c r="DL14" s="167">
        <f>IF('Encodage réponses Es'!BH13="","",'Encodage réponses Es'!BH13)</f>
      </c>
      <c r="DM14" s="167">
        <f>IF('Encodage réponses Es'!BI13="","",'Encodage réponses Es'!BI13)</f>
      </c>
      <c r="DN14" s="167">
        <f>IF('Encodage réponses Es'!BJ13="","",'Encodage réponses Es'!BJ13)</f>
      </c>
      <c r="DO14" s="167">
        <f>IF('Encodage réponses Es'!BK13="","",'Encodage réponses Es'!BK13)</f>
      </c>
      <c r="DP14" s="167">
        <f>IF('Encodage réponses Es'!BL13="","",'Encodage réponses Es'!BL13)</f>
      </c>
      <c r="DQ14" s="167">
        <f>IF('Encodage réponses Es'!BM13="","",'Encodage réponses Es'!BM13)</f>
      </c>
      <c r="DR14" s="167">
        <f>IF('Encodage réponses Es'!BN13="","",'Encodage réponses Es'!BN13)</f>
      </c>
      <c r="DS14" s="167">
        <f>IF('Encodage réponses Es'!BO13="","",'Encodage réponses Es'!BO13)</f>
      </c>
      <c r="DT14" s="167">
        <f>IF('Encodage réponses Es'!BP13="","",'Encodage réponses Es'!BP13)</f>
      </c>
      <c r="DU14" s="330">
        <f t="shared" si="26"/>
      </c>
      <c r="DV14" s="331"/>
    </row>
    <row r="15" spans="1:126" ht="11.25" customHeight="1">
      <c r="A15" s="181"/>
      <c r="B15"/>
      <c r="C15" s="278">
        <f>IF('Encodage réponses Es'!C14="","",'Encodage réponses Es'!C14)</f>
        <v>12</v>
      </c>
      <c r="D15" s="340"/>
      <c r="E15" s="291">
        <f t="shared" si="1"/>
      </c>
      <c r="F15" s="290">
        <f t="shared" si="2"/>
      </c>
      <c r="G15" s="322"/>
      <c r="H15" s="291">
        <f t="shared" si="3"/>
      </c>
      <c r="I15" s="29"/>
      <c r="J15" s="291">
        <f t="shared" si="4"/>
      </c>
      <c r="K15" s="290">
        <f t="shared" si="5"/>
      </c>
      <c r="L15" s="291">
        <f t="shared" si="6"/>
      </c>
      <c r="M15" s="290">
        <f t="shared" si="7"/>
      </c>
      <c r="N15" s="291">
        <f t="shared" si="8"/>
      </c>
      <c r="O15" s="290">
        <f t="shared" si="9"/>
      </c>
      <c r="P15" s="291">
        <f>IF(DU15="","",Résultats!DU15)</f>
      </c>
      <c r="Q15" s="292">
        <f t="shared" si="10"/>
      </c>
      <c r="R15" s="181"/>
      <c r="S15" s="284"/>
      <c r="T15" s="186">
        <f>IF('Encodage réponses Es'!E14="","",'Encodage réponses Es'!E14)</f>
      </c>
      <c r="U15" s="100">
        <f>IF('Encodage réponses Es'!J14="","",'Encodage réponses Es'!J14)</f>
      </c>
      <c r="V15" s="100">
        <f>IF('Encodage réponses Es'!AP14="","",'Encodage réponses Es'!AP14)</f>
      </c>
      <c r="W15" s="358">
        <f t="shared" si="11"/>
      </c>
      <c r="X15" s="359"/>
      <c r="Y15" s="167">
        <f>IF('Encodage réponses Es'!H14="","",'Encodage réponses Es'!H14)</f>
      </c>
      <c r="Z15" s="167">
        <f>IF('Encodage réponses Es'!I14="","",'Encodage réponses Es'!I14)</f>
      </c>
      <c r="AA15" s="167">
        <f>IF('Encodage réponses Es'!J14="","",'Encodage réponses Es'!J14)</f>
      </c>
      <c r="AB15" s="167">
        <f>IF('Encodage réponses Es'!K14="","",'Encodage réponses Es'!K14)</f>
      </c>
      <c r="AC15" s="167">
        <f>IF('Encodage réponses Es'!L14="","",'Encodage réponses Es'!L14)</f>
      </c>
      <c r="AD15" s="167">
        <f>IF('Encodage réponses Es'!Q14="","",'Encodage réponses Es'!Q14)</f>
      </c>
      <c r="AE15" s="167">
        <f>IF('Encodage réponses Es'!R14="","",'Encodage réponses Es'!R14)</f>
      </c>
      <c r="AF15" s="167">
        <f>IF('Encodage réponses Es'!S14="","",'Encodage réponses Es'!S14)</f>
      </c>
      <c r="AG15" s="167">
        <f>IF('Encodage réponses Es'!T14="","",'Encodage réponses Es'!T14)</f>
      </c>
      <c r="AH15" s="167">
        <f>IF('Encodage réponses Es'!U14="","",'Encodage réponses Es'!U14)</f>
      </c>
      <c r="AI15" s="167">
        <f>IF('Encodage réponses Es'!V14="","",'Encodage réponses Es'!V14)</f>
      </c>
      <c r="AJ15" s="167">
        <f>IF('Encodage réponses Es'!W14="","",'Encodage réponses Es'!W14)</f>
      </c>
      <c r="AK15" s="167">
        <f>IF('Encodage réponses Es'!X14="","",'Encodage réponses Es'!X14)</f>
      </c>
      <c r="AL15" s="167">
        <f>IF('Encodage réponses Es'!Y14="","",'Encodage réponses Es'!Y14)</f>
      </c>
      <c r="AM15" s="167">
        <f>IF('Encodage réponses Es'!Z14="","",'Encodage réponses Es'!Z14)</f>
      </c>
      <c r="AN15" s="167">
        <f>IF('Encodage réponses Es'!AA14="","",'Encodage réponses Es'!AA14)</f>
      </c>
      <c r="AO15" s="358">
        <f t="shared" si="12"/>
      </c>
      <c r="AP15" s="359"/>
      <c r="AQ15" s="55">
        <f t="shared" si="0"/>
      </c>
      <c r="AR15" s="55">
        <f t="shared" si="13"/>
      </c>
      <c r="AS15" s="241">
        <f>IF('Encodage réponses Es'!M14="","",'Encodage réponses Es'!M14)</f>
      </c>
      <c r="AT15" s="167">
        <f>IF('Encodage réponses Es'!N14="","",'Encodage réponses Es'!N14)</f>
      </c>
      <c r="AU15" s="167">
        <f>IF('Encodage réponses Es'!O14="","",'Encodage réponses Es'!O14)</f>
      </c>
      <c r="AV15" s="167">
        <f>IF('Encodage réponses Es'!P14="","",'Encodage réponses Es'!P14)</f>
      </c>
      <c r="AW15" s="358">
        <f t="shared" si="14"/>
      </c>
      <c r="AX15" s="359"/>
      <c r="AY15" s="167">
        <f>IF('Encodage réponses Es'!AB14="","",'Encodage réponses Es'!AB14)</f>
      </c>
      <c r="AZ15" s="167">
        <f>IF('Encodage réponses Es'!AC14="","",'Encodage réponses Es'!AC14)</f>
      </c>
      <c r="BA15" s="167">
        <f>IF('Encodage réponses Es'!AD14="","",'Encodage réponses Es'!AD14)</f>
      </c>
      <c r="BB15" s="167">
        <f>IF('Encodage réponses Es'!AE14="","",'Encodage réponses Es'!AE14)</f>
      </c>
      <c r="BC15" s="167">
        <f>IF('Encodage réponses Es'!AF14="","",'Encodage réponses Es'!AF14)</f>
      </c>
      <c r="BD15" s="167">
        <f>IF('Encodage réponses Es'!AG14="","",'Encodage réponses Es'!AG14)</f>
      </c>
      <c r="BE15" s="167">
        <f>IF('Encodage réponses Es'!AH14="","",'Encodage réponses Es'!AH14)</f>
      </c>
      <c r="BF15" s="167">
        <f>IF('Encodage réponses Es'!AI14="","",'Encodage réponses Es'!AI14)</f>
      </c>
      <c r="BG15" s="55">
        <f t="shared" si="15"/>
      </c>
      <c r="BH15" s="221">
        <f t="shared" si="16"/>
      </c>
      <c r="BI15" s="150">
        <f t="shared" si="17"/>
      </c>
      <c r="BJ15" s="54">
        <f t="shared" si="18"/>
      </c>
      <c r="BK15" s="167">
        <f>IF('Encodage réponses Es'!BQ14="","",'Encodage réponses Es'!BQ14)</f>
      </c>
      <c r="BL15" s="167">
        <f>IF('Encodage réponses Es'!BR14="","",'Encodage réponses Es'!BR14)</f>
      </c>
      <c r="BM15" s="167">
        <f>IF('Encodage réponses Es'!BS14="","",'Encodage réponses Es'!BS14)</f>
      </c>
      <c r="BN15" s="167">
        <f>IF('Encodage réponses Es'!BT14="","",'Encodage réponses Es'!BT14)</f>
      </c>
      <c r="BO15" s="289"/>
      <c r="BP15" s="358">
        <f t="shared" si="19"/>
      </c>
      <c r="BQ15" s="359"/>
      <c r="BR15" s="167">
        <f>IF('Encodage réponses Es'!BV14="","",'Encodage réponses Es'!BV14)</f>
      </c>
      <c r="BS15" s="167">
        <f>IF('Encodage réponses Es'!BW14="","",'Encodage réponses Es'!BW14)</f>
      </c>
      <c r="BT15" s="167">
        <f>IF('Encodage réponses Es'!BX14="","",'Encodage réponses Es'!BX14)</f>
      </c>
      <c r="BU15" s="167">
        <f>IF('Encodage réponses Es'!BY14="","",'Encodage réponses Es'!BY14)</f>
      </c>
      <c r="BV15" s="167">
        <f>IF('Encodage réponses Es'!BZ14="","",'Encodage réponses Es'!BZ14)</f>
      </c>
      <c r="BW15" s="251">
        <f t="shared" si="20"/>
      </c>
      <c r="BX15" s="221">
        <f t="shared" si="21"/>
      </c>
      <c r="BY15" s="167">
        <f>IF('Encodage réponses Es'!CF14="","",'Encodage réponses Es'!CF14)</f>
      </c>
      <c r="BZ15" s="167">
        <f>IF('Encodage réponses Es'!CG14="","",'Encodage réponses Es'!CG14)</f>
      </c>
      <c r="CA15" s="358">
        <f t="shared" si="22"/>
      </c>
      <c r="CB15" s="359"/>
      <c r="CC15" s="167">
        <f>IF('Encodage réponses Es'!CA14="","",'Encodage réponses Es'!CA14)</f>
      </c>
      <c r="CD15" s="167">
        <f>IF('Encodage réponses Es'!CB14="","",'Encodage réponses Es'!CB14)</f>
      </c>
      <c r="CE15" s="167">
        <f>IF('Encodage réponses Es'!CC14="","",'Encodage réponses Es'!CC14)</f>
      </c>
      <c r="CF15" s="167">
        <f>IF('Encodage réponses Es'!CD14="","",'Encodage réponses Es'!CD14)</f>
      </c>
      <c r="CG15" s="167">
        <f>IF('Encodage réponses Es'!CE14="","",'Encodage réponses Es'!CE14)</f>
      </c>
      <c r="CH15" s="330">
        <f t="shared" si="23"/>
      </c>
      <c r="CI15" s="331"/>
      <c r="CJ15" s="167">
        <f>IF('Encodage réponses Es'!AJ14="","",'Encodage réponses Es'!AJ14)</f>
      </c>
      <c r="CK15" s="167">
        <f>IF('Encodage réponses Es'!AK14="","",'Encodage réponses Es'!AK14)</f>
      </c>
      <c r="CL15" s="167">
        <f>IF('Encodage réponses Es'!AL14="","",'Encodage réponses Es'!AL14)</f>
      </c>
      <c r="CM15" s="167">
        <f>IF('Encodage réponses Es'!AM14="","",'Encodage réponses Es'!AM14)</f>
      </c>
      <c r="CN15" s="167">
        <f>IF('Encodage réponses Es'!AN14="","",'Encodage réponses Es'!AN14)</f>
      </c>
      <c r="CO15" s="167">
        <f>IF('Encodage réponses Es'!AO14="","",'Encodage réponses Es'!AO14)</f>
      </c>
      <c r="CP15" s="167">
        <f>IF('Encodage réponses Es'!AP14="","",'Encodage réponses Es'!AP14)</f>
      </c>
      <c r="CQ15" s="167">
        <f>IF('Encodage réponses Es'!AQ14="","",'Encodage réponses Es'!AQ14)</f>
      </c>
      <c r="CR15" s="167">
        <f>IF('Encodage réponses Es'!AR14="","",'Encodage réponses Es'!AR14)</f>
      </c>
      <c r="CS15" s="167">
        <f>IF('Encodage réponses Es'!AS14="","",'Encodage réponses Es'!AS14)</f>
      </c>
      <c r="CT15" s="167">
        <f>IF('Encodage réponses Es'!AT14="","",'Encodage réponses Es'!AT14)</f>
      </c>
      <c r="CU15" s="167">
        <f>IF('Encodage réponses Es'!AU14="","",'Encodage réponses Es'!AU14)</f>
      </c>
      <c r="CV15" s="358">
        <f t="shared" si="24"/>
      </c>
      <c r="CW15" s="359"/>
      <c r="CX15" s="167">
        <f>IF('Encodage réponses Es'!AV14="","",'Encodage réponses Es'!AV14)</f>
      </c>
      <c r="CY15" s="167">
        <f>IF('Encodage réponses Es'!AW14="","",'Encodage réponses Es'!AW14)</f>
      </c>
      <c r="CZ15" s="167">
        <f>IF('Encodage réponses Es'!AX14="","",'Encodage réponses Es'!AX14)</f>
      </c>
      <c r="DA15" s="167">
        <f>IF('Encodage réponses Es'!AY14="","",'Encodage réponses Es'!AY14)</f>
      </c>
      <c r="DB15" s="167">
        <f>IF('Encodage réponses Es'!AZ14="","",'Encodage réponses Es'!AZ14)</f>
      </c>
      <c r="DC15" s="167">
        <f>IF('Encodage réponses Es'!BA14="","",'Encodage réponses Es'!BA14)</f>
      </c>
      <c r="DD15" s="167">
        <f>IF('Encodage réponses Es'!BB14="","",'Encodage réponses Es'!BB14)</f>
      </c>
      <c r="DE15" s="358">
        <f t="shared" si="25"/>
      </c>
      <c r="DF15" s="359"/>
      <c r="DG15" s="167">
        <f>IF('Encodage réponses Es'!BC14="","",'Encodage réponses Es'!BC14)</f>
      </c>
      <c r="DH15" s="167">
        <f>IF('Encodage réponses Es'!BD14="","",'Encodage réponses Es'!BD14)</f>
      </c>
      <c r="DI15" s="167">
        <f>IF('Encodage réponses Es'!BE14="","",'Encodage réponses Es'!BE14)</f>
      </c>
      <c r="DJ15" s="167">
        <f>IF('Encodage réponses Es'!BF14="","",'Encodage réponses Es'!BF14)</f>
      </c>
      <c r="DK15" s="167">
        <f>IF('Encodage réponses Es'!BG14="","",'Encodage réponses Es'!BG14)</f>
      </c>
      <c r="DL15" s="167">
        <f>IF('Encodage réponses Es'!BH14="","",'Encodage réponses Es'!BH14)</f>
      </c>
      <c r="DM15" s="167">
        <f>IF('Encodage réponses Es'!BI14="","",'Encodage réponses Es'!BI14)</f>
      </c>
      <c r="DN15" s="167">
        <f>IF('Encodage réponses Es'!BJ14="","",'Encodage réponses Es'!BJ14)</f>
      </c>
      <c r="DO15" s="167">
        <f>IF('Encodage réponses Es'!BK14="","",'Encodage réponses Es'!BK14)</f>
      </c>
      <c r="DP15" s="167">
        <f>IF('Encodage réponses Es'!BL14="","",'Encodage réponses Es'!BL14)</f>
      </c>
      <c r="DQ15" s="167">
        <f>IF('Encodage réponses Es'!BM14="","",'Encodage réponses Es'!BM14)</f>
      </c>
      <c r="DR15" s="167">
        <f>IF('Encodage réponses Es'!BN14="","",'Encodage réponses Es'!BN14)</f>
      </c>
      <c r="DS15" s="167">
        <f>IF('Encodage réponses Es'!BO14="","",'Encodage réponses Es'!BO14)</f>
      </c>
      <c r="DT15" s="167">
        <f>IF('Encodage réponses Es'!BP14="","",'Encodage réponses Es'!BP14)</f>
      </c>
      <c r="DU15" s="330">
        <f t="shared" si="26"/>
      </c>
      <c r="DV15" s="331"/>
    </row>
    <row r="16" spans="1:126" ht="11.25" customHeight="1">
      <c r="A16" s="181"/>
      <c r="B16"/>
      <c r="C16" s="278">
        <f>IF('Encodage réponses Es'!C15="","",'Encodage réponses Es'!C15)</f>
        <v>13</v>
      </c>
      <c r="D16" s="340"/>
      <c r="E16" s="291">
        <f t="shared" si="1"/>
      </c>
      <c r="F16" s="290">
        <f t="shared" si="2"/>
      </c>
      <c r="G16" s="322"/>
      <c r="H16" s="291">
        <f t="shared" si="3"/>
      </c>
      <c r="I16" s="29"/>
      <c r="J16" s="291">
        <f t="shared" si="4"/>
      </c>
      <c r="K16" s="290">
        <f t="shared" si="5"/>
      </c>
      <c r="L16" s="291">
        <f t="shared" si="6"/>
      </c>
      <c r="M16" s="290">
        <f t="shared" si="7"/>
      </c>
      <c r="N16" s="291">
        <f t="shared" si="8"/>
      </c>
      <c r="O16" s="290">
        <f t="shared" si="9"/>
      </c>
      <c r="P16" s="291">
        <f>IF(DU16="","",Résultats!DU16)</f>
      </c>
      <c r="Q16" s="292">
        <f t="shared" si="10"/>
      </c>
      <c r="R16" s="181"/>
      <c r="S16" s="284"/>
      <c r="T16" s="186">
        <f>IF('Encodage réponses Es'!E15="","",'Encodage réponses Es'!E15)</f>
      </c>
      <c r="U16" s="100">
        <f>IF('Encodage réponses Es'!J15="","",'Encodage réponses Es'!J15)</f>
      </c>
      <c r="V16" s="100">
        <f>IF('Encodage réponses Es'!AP15="","",'Encodage réponses Es'!AP15)</f>
      </c>
      <c r="W16" s="358">
        <f t="shared" si="11"/>
      </c>
      <c r="X16" s="359"/>
      <c r="Y16" s="167">
        <f>IF('Encodage réponses Es'!H15="","",'Encodage réponses Es'!H15)</f>
      </c>
      <c r="Z16" s="167">
        <f>IF('Encodage réponses Es'!I15="","",'Encodage réponses Es'!I15)</f>
      </c>
      <c r="AA16" s="167">
        <f>IF('Encodage réponses Es'!J15="","",'Encodage réponses Es'!J15)</f>
      </c>
      <c r="AB16" s="167">
        <f>IF('Encodage réponses Es'!K15="","",'Encodage réponses Es'!K15)</f>
      </c>
      <c r="AC16" s="167">
        <f>IF('Encodage réponses Es'!L15="","",'Encodage réponses Es'!L15)</f>
      </c>
      <c r="AD16" s="167">
        <f>IF('Encodage réponses Es'!Q15="","",'Encodage réponses Es'!Q15)</f>
      </c>
      <c r="AE16" s="167">
        <f>IF('Encodage réponses Es'!R15="","",'Encodage réponses Es'!R15)</f>
      </c>
      <c r="AF16" s="167">
        <f>IF('Encodage réponses Es'!S15="","",'Encodage réponses Es'!S15)</f>
      </c>
      <c r="AG16" s="167">
        <f>IF('Encodage réponses Es'!T15="","",'Encodage réponses Es'!T15)</f>
      </c>
      <c r="AH16" s="167">
        <f>IF('Encodage réponses Es'!U15="","",'Encodage réponses Es'!U15)</f>
      </c>
      <c r="AI16" s="167">
        <f>IF('Encodage réponses Es'!V15="","",'Encodage réponses Es'!V15)</f>
      </c>
      <c r="AJ16" s="167">
        <f>IF('Encodage réponses Es'!W15="","",'Encodage réponses Es'!W15)</f>
      </c>
      <c r="AK16" s="167">
        <f>IF('Encodage réponses Es'!X15="","",'Encodage réponses Es'!X15)</f>
      </c>
      <c r="AL16" s="167">
        <f>IF('Encodage réponses Es'!Y15="","",'Encodage réponses Es'!Y15)</f>
      </c>
      <c r="AM16" s="167">
        <f>IF('Encodage réponses Es'!Z15="","",'Encodage réponses Es'!Z15)</f>
      </c>
      <c r="AN16" s="167">
        <f>IF('Encodage réponses Es'!AA15="","",'Encodage réponses Es'!AA15)</f>
      </c>
      <c r="AO16" s="358">
        <f t="shared" si="12"/>
      </c>
      <c r="AP16" s="359"/>
      <c r="AQ16" s="55">
        <f t="shared" si="0"/>
      </c>
      <c r="AR16" s="55">
        <f t="shared" si="13"/>
      </c>
      <c r="AS16" s="241">
        <f>IF('Encodage réponses Es'!M15="","",'Encodage réponses Es'!M15)</f>
      </c>
      <c r="AT16" s="167">
        <f>IF('Encodage réponses Es'!N15="","",'Encodage réponses Es'!N15)</f>
      </c>
      <c r="AU16" s="167">
        <f>IF('Encodage réponses Es'!O15="","",'Encodage réponses Es'!O15)</f>
      </c>
      <c r="AV16" s="167">
        <f>IF('Encodage réponses Es'!P15="","",'Encodage réponses Es'!P15)</f>
      </c>
      <c r="AW16" s="358">
        <f t="shared" si="14"/>
      </c>
      <c r="AX16" s="359"/>
      <c r="AY16" s="167">
        <f>IF('Encodage réponses Es'!AB15="","",'Encodage réponses Es'!AB15)</f>
      </c>
      <c r="AZ16" s="167">
        <f>IF('Encodage réponses Es'!AC15="","",'Encodage réponses Es'!AC15)</f>
      </c>
      <c r="BA16" s="167">
        <f>IF('Encodage réponses Es'!AD15="","",'Encodage réponses Es'!AD15)</f>
      </c>
      <c r="BB16" s="167">
        <f>IF('Encodage réponses Es'!AE15="","",'Encodage réponses Es'!AE15)</f>
      </c>
      <c r="BC16" s="167">
        <f>IF('Encodage réponses Es'!AF15="","",'Encodage réponses Es'!AF15)</f>
      </c>
      <c r="BD16" s="167">
        <f>IF('Encodage réponses Es'!AG15="","",'Encodage réponses Es'!AG15)</f>
      </c>
      <c r="BE16" s="167">
        <f>IF('Encodage réponses Es'!AH15="","",'Encodage réponses Es'!AH15)</f>
      </c>
      <c r="BF16" s="167">
        <f>IF('Encodage réponses Es'!AI15="","",'Encodage réponses Es'!AI15)</f>
      </c>
      <c r="BG16" s="55">
        <f t="shared" si="15"/>
      </c>
      <c r="BH16" s="221">
        <f t="shared" si="16"/>
      </c>
      <c r="BI16" s="150">
        <f t="shared" si="17"/>
      </c>
      <c r="BJ16" s="54">
        <f t="shared" si="18"/>
      </c>
      <c r="BK16" s="167">
        <f>IF('Encodage réponses Es'!BQ15="","",'Encodage réponses Es'!BQ15)</f>
      </c>
      <c r="BL16" s="167">
        <f>IF('Encodage réponses Es'!BR15="","",'Encodage réponses Es'!BR15)</f>
      </c>
      <c r="BM16" s="167">
        <f>IF('Encodage réponses Es'!BS15="","",'Encodage réponses Es'!BS15)</f>
      </c>
      <c r="BN16" s="167">
        <f>IF('Encodage réponses Es'!BT15="","",'Encodage réponses Es'!BT15)</f>
      </c>
      <c r="BO16" s="289"/>
      <c r="BP16" s="358">
        <f t="shared" si="19"/>
      </c>
      <c r="BQ16" s="359"/>
      <c r="BR16" s="167">
        <f>IF('Encodage réponses Es'!BV15="","",'Encodage réponses Es'!BV15)</f>
      </c>
      <c r="BS16" s="167">
        <f>IF('Encodage réponses Es'!BW15="","",'Encodage réponses Es'!BW15)</f>
      </c>
      <c r="BT16" s="167">
        <f>IF('Encodage réponses Es'!BX15="","",'Encodage réponses Es'!BX15)</f>
      </c>
      <c r="BU16" s="167">
        <f>IF('Encodage réponses Es'!BY15="","",'Encodage réponses Es'!BY15)</f>
      </c>
      <c r="BV16" s="167">
        <f>IF('Encodage réponses Es'!BZ15="","",'Encodage réponses Es'!BZ15)</f>
      </c>
      <c r="BW16" s="251">
        <f t="shared" si="20"/>
      </c>
      <c r="BX16" s="221">
        <f t="shared" si="21"/>
      </c>
      <c r="BY16" s="167">
        <f>IF('Encodage réponses Es'!CF15="","",'Encodage réponses Es'!CF15)</f>
      </c>
      <c r="BZ16" s="167">
        <f>IF('Encodage réponses Es'!CG15="","",'Encodage réponses Es'!CG15)</f>
      </c>
      <c r="CA16" s="358">
        <f t="shared" si="22"/>
      </c>
      <c r="CB16" s="359"/>
      <c r="CC16" s="167">
        <f>IF('Encodage réponses Es'!CA15="","",'Encodage réponses Es'!CA15)</f>
      </c>
      <c r="CD16" s="167">
        <f>IF('Encodage réponses Es'!CB15="","",'Encodage réponses Es'!CB15)</f>
      </c>
      <c r="CE16" s="167">
        <f>IF('Encodage réponses Es'!CC15="","",'Encodage réponses Es'!CC15)</f>
      </c>
      <c r="CF16" s="167">
        <f>IF('Encodage réponses Es'!CD15="","",'Encodage réponses Es'!CD15)</f>
      </c>
      <c r="CG16" s="167">
        <f>IF('Encodage réponses Es'!CE15="","",'Encodage réponses Es'!CE15)</f>
      </c>
      <c r="CH16" s="330">
        <f t="shared" si="23"/>
      </c>
      <c r="CI16" s="331"/>
      <c r="CJ16" s="167">
        <f>IF('Encodage réponses Es'!AJ15="","",'Encodage réponses Es'!AJ15)</f>
      </c>
      <c r="CK16" s="167">
        <f>IF('Encodage réponses Es'!AK15="","",'Encodage réponses Es'!AK15)</f>
      </c>
      <c r="CL16" s="167">
        <f>IF('Encodage réponses Es'!AL15="","",'Encodage réponses Es'!AL15)</f>
      </c>
      <c r="CM16" s="167">
        <f>IF('Encodage réponses Es'!AM15="","",'Encodage réponses Es'!AM15)</f>
      </c>
      <c r="CN16" s="167">
        <f>IF('Encodage réponses Es'!AN15="","",'Encodage réponses Es'!AN15)</f>
      </c>
      <c r="CO16" s="167">
        <f>IF('Encodage réponses Es'!AO15="","",'Encodage réponses Es'!AO15)</f>
      </c>
      <c r="CP16" s="167">
        <f>IF('Encodage réponses Es'!AP15="","",'Encodage réponses Es'!AP15)</f>
      </c>
      <c r="CQ16" s="167">
        <f>IF('Encodage réponses Es'!AQ15="","",'Encodage réponses Es'!AQ15)</f>
      </c>
      <c r="CR16" s="167">
        <f>IF('Encodage réponses Es'!AR15="","",'Encodage réponses Es'!AR15)</f>
      </c>
      <c r="CS16" s="167">
        <f>IF('Encodage réponses Es'!AS15="","",'Encodage réponses Es'!AS15)</f>
      </c>
      <c r="CT16" s="167">
        <f>IF('Encodage réponses Es'!AT15="","",'Encodage réponses Es'!AT15)</f>
      </c>
      <c r="CU16" s="167">
        <f>IF('Encodage réponses Es'!AU15="","",'Encodage réponses Es'!AU15)</f>
      </c>
      <c r="CV16" s="358">
        <f t="shared" si="24"/>
      </c>
      <c r="CW16" s="359"/>
      <c r="CX16" s="167">
        <f>IF('Encodage réponses Es'!AV15="","",'Encodage réponses Es'!AV15)</f>
      </c>
      <c r="CY16" s="167">
        <f>IF('Encodage réponses Es'!AW15="","",'Encodage réponses Es'!AW15)</f>
      </c>
      <c r="CZ16" s="167">
        <f>IF('Encodage réponses Es'!AX15="","",'Encodage réponses Es'!AX15)</f>
      </c>
      <c r="DA16" s="167">
        <f>IF('Encodage réponses Es'!AY15="","",'Encodage réponses Es'!AY15)</f>
      </c>
      <c r="DB16" s="167">
        <f>IF('Encodage réponses Es'!AZ15="","",'Encodage réponses Es'!AZ15)</f>
      </c>
      <c r="DC16" s="167">
        <f>IF('Encodage réponses Es'!BA15="","",'Encodage réponses Es'!BA15)</f>
      </c>
      <c r="DD16" s="167">
        <f>IF('Encodage réponses Es'!BB15="","",'Encodage réponses Es'!BB15)</f>
      </c>
      <c r="DE16" s="358">
        <f t="shared" si="25"/>
      </c>
      <c r="DF16" s="359"/>
      <c r="DG16" s="167">
        <f>IF('Encodage réponses Es'!BC15="","",'Encodage réponses Es'!BC15)</f>
      </c>
      <c r="DH16" s="167">
        <f>IF('Encodage réponses Es'!BD15="","",'Encodage réponses Es'!BD15)</f>
      </c>
      <c r="DI16" s="167">
        <f>IF('Encodage réponses Es'!BE15="","",'Encodage réponses Es'!BE15)</f>
      </c>
      <c r="DJ16" s="167">
        <f>IF('Encodage réponses Es'!BF15="","",'Encodage réponses Es'!BF15)</f>
      </c>
      <c r="DK16" s="167">
        <f>IF('Encodage réponses Es'!BG15="","",'Encodage réponses Es'!BG15)</f>
      </c>
      <c r="DL16" s="167">
        <f>IF('Encodage réponses Es'!BH15="","",'Encodage réponses Es'!BH15)</f>
      </c>
      <c r="DM16" s="167">
        <f>IF('Encodage réponses Es'!BI15="","",'Encodage réponses Es'!BI15)</f>
      </c>
      <c r="DN16" s="167">
        <f>IF('Encodage réponses Es'!BJ15="","",'Encodage réponses Es'!BJ15)</f>
      </c>
      <c r="DO16" s="167">
        <f>IF('Encodage réponses Es'!BK15="","",'Encodage réponses Es'!BK15)</f>
      </c>
      <c r="DP16" s="167">
        <f>IF('Encodage réponses Es'!BL15="","",'Encodage réponses Es'!BL15)</f>
      </c>
      <c r="DQ16" s="167">
        <f>IF('Encodage réponses Es'!BM15="","",'Encodage réponses Es'!BM15)</f>
      </c>
      <c r="DR16" s="167">
        <f>IF('Encodage réponses Es'!BN15="","",'Encodage réponses Es'!BN15)</f>
      </c>
      <c r="DS16" s="167">
        <f>IF('Encodage réponses Es'!BO15="","",'Encodage réponses Es'!BO15)</f>
      </c>
      <c r="DT16" s="167">
        <f>IF('Encodage réponses Es'!BP15="","",'Encodage réponses Es'!BP15)</f>
      </c>
      <c r="DU16" s="330">
        <f t="shared" si="26"/>
      </c>
      <c r="DV16" s="331"/>
    </row>
    <row r="17" spans="1:126" ht="11.25" customHeight="1">
      <c r="A17" s="181"/>
      <c r="B17"/>
      <c r="C17" s="278">
        <f>IF('Encodage réponses Es'!C16="","",'Encodage réponses Es'!C16)</f>
        <v>14</v>
      </c>
      <c r="D17" s="340"/>
      <c r="E17" s="291">
        <f t="shared" si="1"/>
      </c>
      <c r="F17" s="290">
        <f t="shared" si="2"/>
      </c>
      <c r="G17" s="322"/>
      <c r="H17" s="291">
        <f t="shared" si="3"/>
      </c>
      <c r="I17" s="29"/>
      <c r="J17" s="291">
        <f t="shared" si="4"/>
      </c>
      <c r="K17" s="290">
        <f t="shared" si="5"/>
      </c>
      <c r="L17" s="291">
        <f t="shared" si="6"/>
      </c>
      <c r="M17" s="290">
        <f t="shared" si="7"/>
      </c>
      <c r="N17" s="291">
        <f t="shared" si="8"/>
      </c>
      <c r="O17" s="290">
        <f t="shared" si="9"/>
      </c>
      <c r="P17" s="291">
        <f>IF(DU17="","",Résultats!DU17)</f>
      </c>
      <c r="Q17" s="292">
        <f t="shared" si="10"/>
      </c>
      <c r="R17" s="181"/>
      <c r="S17" s="284"/>
      <c r="T17" s="186">
        <f>IF('Encodage réponses Es'!E16="","",'Encodage réponses Es'!E16)</f>
      </c>
      <c r="U17" s="100">
        <f>IF('Encodage réponses Es'!J16="","",'Encodage réponses Es'!J16)</f>
      </c>
      <c r="V17" s="100">
        <f>IF('Encodage réponses Es'!AP16="","",'Encodage réponses Es'!AP16)</f>
      </c>
      <c r="W17" s="358">
        <f t="shared" si="11"/>
      </c>
      <c r="X17" s="359"/>
      <c r="Y17" s="167">
        <f>IF('Encodage réponses Es'!H16="","",'Encodage réponses Es'!H16)</f>
      </c>
      <c r="Z17" s="167">
        <f>IF('Encodage réponses Es'!I16="","",'Encodage réponses Es'!I16)</f>
      </c>
      <c r="AA17" s="167">
        <f>IF('Encodage réponses Es'!J16="","",'Encodage réponses Es'!J16)</f>
      </c>
      <c r="AB17" s="167">
        <f>IF('Encodage réponses Es'!K16="","",'Encodage réponses Es'!K16)</f>
      </c>
      <c r="AC17" s="167">
        <f>IF('Encodage réponses Es'!L16="","",'Encodage réponses Es'!L16)</f>
      </c>
      <c r="AD17" s="167">
        <f>IF('Encodage réponses Es'!Q16="","",'Encodage réponses Es'!Q16)</f>
      </c>
      <c r="AE17" s="167">
        <f>IF('Encodage réponses Es'!R16="","",'Encodage réponses Es'!R16)</f>
      </c>
      <c r="AF17" s="167">
        <f>IF('Encodage réponses Es'!S16="","",'Encodage réponses Es'!S16)</f>
      </c>
      <c r="AG17" s="167">
        <f>IF('Encodage réponses Es'!T16="","",'Encodage réponses Es'!T16)</f>
      </c>
      <c r="AH17" s="167">
        <f>IF('Encodage réponses Es'!U16="","",'Encodage réponses Es'!U16)</f>
      </c>
      <c r="AI17" s="167">
        <f>IF('Encodage réponses Es'!V16="","",'Encodage réponses Es'!V16)</f>
      </c>
      <c r="AJ17" s="167">
        <f>IF('Encodage réponses Es'!W16="","",'Encodage réponses Es'!W16)</f>
      </c>
      <c r="AK17" s="167">
        <f>IF('Encodage réponses Es'!X16="","",'Encodage réponses Es'!X16)</f>
      </c>
      <c r="AL17" s="167">
        <f>IF('Encodage réponses Es'!Y16="","",'Encodage réponses Es'!Y16)</f>
      </c>
      <c r="AM17" s="167">
        <f>IF('Encodage réponses Es'!Z16="","",'Encodage réponses Es'!Z16)</f>
      </c>
      <c r="AN17" s="167">
        <f>IF('Encodage réponses Es'!AA16="","",'Encodage réponses Es'!AA16)</f>
      </c>
      <c r="AO17" s="358">
        <f t="shared" si="12"/>
      </c>
      <c r="AP17" s="359"/>
      <c r="AQ17" s="55">
        <f aca="true" t="shared" si="27" ref="AQ17:AQ37">IF(OR(W17="",AO17="",W17="a",AO17="a"),"",W17+AO17)</f>
      </c>
      <c r="AR17" s="55">
        <f t="shared" si="13"/>
      </c>
      <c r="AS17" s="241">
        <f>IF('Encodage réponses Es'!M16="","",'Encodage réponses Es'!M16)</f>
      </c>
      <c r="AT17" s="167">
        <f>IF('Encodage réponses Es'!N16="","",'Encodage réponses Es'!N16)</f>
      </c>
      <c r="AU17" s="167">
        <f>IF('Encodage réponses Es'!O16="","",'Encodage réponses Es'!O16)</f>
      </c>
      <c r="AV17" s="167">
        <f>IF('Encodage réponses Es'!P16="","",'Encodage réponses Es'!P16)</f>
      </c>
      <c r="AW17" s="358">
        <f t="shared" si="14"/>
      </c>
      <c r="AX17" s="359"/>
      <c r="AY17" s="167">
        <f>IF('Encodage réponses Es'!AB16="","",'Encodage réponses Es'!AB16)</f>
      </c>
      <c r="AZ17" s="167">
        <f>IF('Encodage réponses Es'!AC16="","",'Encodage réponses Es'!AC16)</f>
      </c>
      <c r="BA17" s="167">
        <f>IF('Encodage réponses Es'!AD16="","",'Encodage réponses Es'!AD16)</f>
      </c>
      <c r="BB17" s="167">
        <f>IF('Encodage réponses Es'!AE16="","",'Encodage réponses Es'!AE16)</f>
      </c>
      <c r="BC17" s="167">
        <f>IF('Encodage réponses Es'!AF16="","",'Encodage réponses Es'!AF16)</f>
      </c>
      <c r="BD17" s="167">
        <f>IF('Encodage réponses Es'!AG16="","",'Encodage réponses Es'!AG16)</f>
      </c>
      <c r="BE17" s="167">
        <f>IF('Encodage réponses Es'!AH16="","",'Encodage réponses Es'!AH16)</f>
      </c>
      <c r="BF17" s="167">
        <f>IF('Encodage réponses Es'!AI16="","",'Encodage réponses Es'!AI16)</f>
      </c>
      <c r="BG17" s="55">
        <f t="shared" si="15"/>
      </c>
      <c r="BH17" s="221">
        <f t="shared" si="16"/>
      </c>
      <c r="BI17" s="150">
        <f t="shared" si="17"/>
      </c>
      <c r="BJ17" s="54">
        <f t="shared" si="18"/>
      </c>
      <c r="BK17" s="167">
        <f>IF('Encodage réponses Es'!BQ16="","",'Encodage réponses Es'!BQ16)</f>
      </c>
      <c r="BL17" s="167">
        <f>IF('Encodage réponses Es'!BR16="","",'Encodage réponses Es'!BR16)</f>
      </c>
      <c r="BM17" s="167">
        <f>IF('Encodage réponses Es'!BS16="","",'Encodage réponses Es'!BS16)</f>
      </c>
      <c r="BN17" s="167">
        <f>IF('Encodage réponses Es'!BT16="","",'Encodage réponses Es'!BT16)</f>
      </c>
      <c r="BO17" s="289"/>
      <c r="BP17" s="358">
        <f t="shared" si="19"/>
      </c>
      <c r="BQ17" s="359"/>
      <c r="BR17" s="167">
        <f>IF('Encodage réponses Es'!BV16="","",'Encodage réponses Es'!BV16)</f>
      </c>
      <c r="BS17" s="167">
        <f>IF('Encodage réponses Es'!BW16="","",'Encodage réponses Es'!BW16)</f>
      </c>
      <c r="BT17" s="167">
        <f>IF('Encodage réponses Es'!BX16="","",'Encodage réponses Es'!BX16)</f>
      </c>
      <c r="BU17" s="167">
        <f>IF('Encodage réponses Es'!BY16="","",'Encodage réponses Es'!BY16)</f>
      </c>
      <c r="BV17" s="167">
        <f>IF('Encodage réponses Es'!BZ16="","",'Encodage réponses Es'!BZ16)</f>
      </c>
      <c r="BW17" s="251">
        <f t="shared" si="20"/>
      </c>
      <c r="BX17" s="221">
        <f t="shared" si="21"/>
      </c>
      <c r="BY17" s="167">
        <f>IF('Encodage réponses Es'!CF16="","",'Encodage réponses Es'!CF16)</f>
      </c>
      <c r="BZ17" s="167">
        <f>IF('Encodage réponses Es'!CG16="","",'Encodage réponses Es'!CG16)</f>
      </c>
      <c r="CA17" s="358">
        <f t="shared" si="22"/>
      </c>
      <c r="CB17" s="359"/>
      <c r="CC17" s="167">
        <f>IF('Encodage réponses Es'!CA16="","",'Encodage réponses Es'!CA16)</f>
      </c>
      <c r="CD17" s="167">
        <f>IF('Encodage réponses Es'!CB16="","",'Encodage réponses Es'!CB16)</f>
      </c>
      <c r="CE17" s="167">
        <f>IF('Encodage réponses Es'!CC16="","",'Encodage réponses Es'!CC16)</f>
      </c>
      <c r="CF17" s="167">
        <f>IF('Encodage réponses Es'!CD16="","",'Encodage réponses Es'!CD16)</f>
      </c>
      <c r="CG17" s="167">
        <f>IF('Encodage réponses Es'!CE16="","",'Encodage réponses Es'!CE16)</f>
      </c>
      <c r="CH17" s="330">
        <f t="shared" si="23"/>
      </c>
      <c r="CI17" s="331"/>
      <c r="CJ17" s="167">
        <f>IF('Encodage réponses Es'!AJ16="","",'Encodage réponses Es'!AJ16)</f>
      </c>
      <c r="CK17" s="167">
        <f>IF('Encodage réponses Es'!AK16="","",'Encodage réponses Es'!AK16)</f>
      </c>
      <c r="CL17" s="167">
        <f>IF('Encodage réponses Es'!AL16="","",'Encodage réponses Es'!AL16)</f>
      </c>
      <c r="CM17" s="167">
        <f>IF('Encodage réponses Es'!AM16="","",'Encodage réponses Es'!AM16)</f>
      </c>
      <c r="CN17" s="167">
        <f>IF('Encodage réponses Es'!AN16="","",'Encodage réponses Es'!AN16)</f>
      </c>
      <c r="CO17" s="167">
        <f>IF('Encodage réponses Es'!AO16="","",'Encodage réponses Es'!AO16)</f>
      </c>
      <c r="CP17" s="167">
        <f>IF('Encodage réponses Es'!AP16="","",'Encodage réponses Es'!AP16)</f>
      </c>
      <c r="CQ17" s="167">
        <f>IF('Encodage réponses Es'!AQ16="","",'Encodage réponses Es'!AQ16)</f>
      </c>
      <c r="CR17" s="167">
        <f>IF('Encodage réponses Es'!AR16="","",'Encodage réponses Es'!AR16)</f>
      </c>
      <c r="CS17" s="167">
        <f>IF('Encodage réponses Es'!AS16="","",'Encodage réponses Es'!AS16)</f>
      </c>
      <c r="CT17" s="167">
        <f>IF('Encodage réponses Es'!AT16="","",'Encodage réponses Es'!AT16)</f>
      </c>
      <c r="CU17" s="167">
        <f>IF('Encodage réponses Es'!AU16="","",'Encodage réponses Es'!AU16)</f>
      </c>
      <c r="CV17" s="358">
        <f t="shared" si="24"/>
      </c>
      <c r="CW17" s="359"/>
      <c r="CX17" s="167">
        <f>IF('Encodage réponses Es'!AV16="","",'Encodage réponses Es'!AV16)</f>
      </c>
      <c r="CY17" s="167">
        <f>IF('Encodage réponses Es'!AW16="","",'Encodage réponses Es'!AW16)</f>
      </c>
      <c r="CZ17" s="167">
        <f>IF('Encodage réponses Es'!AX16="","",'Encodage réponses Es'!AX16)</f>
      </c>
      <c r="DA17" s="167">
        <f>IF('Encodage réponses Es'!AY16="","",'Encodage réponses Es'!AY16)</f>
      </c>
      <c r="DB17" s="167">
        <f>IF('Encodage réponses Es'!AZ16="","",'Encodage réponses Es'!AZ16)</f>
      </c>
      <c r="DC17" s="167">
        <f>IF('Encodage réponses Es'!BA16="","",'Encodage réponses Es'!BA16)</f>
      </c>
      <c r="DD17" s="167">
        <f>IF('Encodage réponses Es'!BB16="","",'Encodage réponses Es'!BB16)</f>
      </c>
      <c r="DE17" s="358">
        <f t="shared" si="25"/>
      </c>
      <c r="DF17" s="359"/>
      <c r="DG17" s="167">
        <f>IF('Encodage réponses Es'!BC16="","",'Encodage réponses Es'!BC16)</f>
      </c>
      <c r="DH17" s="167">
        <f>IF('Encodage réponses Es'!BD16="","",'Encodage réponses Es'!BD16)</f>
      </c>
      <c r="DI17" s="167">
        <f>IF('Encodage réponses Es'!BE16="","",'Encodage réponses Es'!BE16)</f>
      </c>
      <c r="DJ17" s="167">
        <f>IF('Encodage réponses Es'!BF16="","",'Encodage réponses Es'!BF16)</f>
      </c>
      <c r="DK17" s="167">
        <f>IF('Encodage réponses Es'!BG16="","",'Encodage réponses Es'!BG16)</f>
      </c>
      <c r="DL17" s="167">
        <f>IF('Encodage réponses Es'!BH16="","",'Encodage réponses Es'!BH16)</f>
      </c>
      <c r="DM17" s="167">
        <f>IF('Encodage réponses Es'!BI16="","",'Encodage réponses Es'!BI16)</f>
      </c>
      <c r="DN17" s="167">
        <f>IF('Encodage réponses Es'!BJ16="","",'Encodage réponses Es'!BJ16)</f>
      </c>
      <c r="DO17" s="167">
        <f>IF('Encodage réponses Es'!BK16="","",'Encodage réponses Es'!BK16)</f>
      </c>
      <c r="DP17" s="167">
        <f>IF('Encodage réponses Es'!BL16="","",'Encodage réponses Es'!BL16)</f>
      </c>
      <c r="DQ17" s="167">
        <f>IF('Encodage réponses Es'!BM16="","",'Encodage réponses Es'!BM16)</f>
      </c>
      <c r="DR17" s="167">
        <f>IF('Encodage réponses Es'!BN16="","",'Encodage réponses Es'!BN16)</f>
      </c>
      <c r="DS17" s="167">
        <f>IF('Encodage réponses Es'!BO16="","",'Encodage réponses Es'!BO16)</f>
      </c>
      <c r="DT17" s="167">
        <f>IF('Encodage réponses Es'!BP16="","",'Encodage réponses Es'!BP16)</f>
      </c>
      <c r="DU17" s="330">
        <f t="shared" si="26"/>
      </c>
      <c r="DV17" s="331"/>
    </row>
    <row r="18" spans="1:126" ht="11.25" customHeight="1">
      <c r="A18" s="181"/>
      <c r="B18"/>
      <c r="C18" s="278">
        <f>IF('Encodage réponses Es'!C17="","",'Encodage réponses Es'!C17)</f>
        <v>15</v>
      </c>
      <c r="D18" s="340"/>
      <c r="E18" s="291">
        <f t="shared" si="1"/>
      </c>
      <c r="F18" s="290">
        <f t="shared" si="2"/>
      </c>
      <c r="G18" s="322"/>
      <c r="H18" s="291">
        <f t="shared" si="3"/>
      </c>
      <c r="I18" s="29"/>
      <c r="J18" s="291">
        <f t="shared" si="4"/>
      </c>
      <c r="K18" s="290">
        <f t="shared" si="5"/>
      </c>
      <c r="L18" s="291">
        <f t="shared" si="6"/>
      </c>
      <c r="M18" s="290">
        <f t="shared" si="7"/>
      </c>
      <c r="N18" s="291">
        <f t="shared" si="8"/>
      </c>
      <c r="O18" s="290">
        <f t="shared" si="9"/>
      </c>
      <c r="P18" s="291">
        <f>IF(DU18="","",Résultats!DU18)</f>
      </c>
      <c r="Q18" s="292">
        <f t="shared" si="10"/>
      </c>
      <c r="R18" s="181"/>
      <c r="S18" s="284"/>
      <c r="T18" s="186">
        <f>IF('Encodage réponses Es'!E17="","",'Encodage réponses Es'!E17)</f>
      </c>
      <c r="U18" s="100">
        <f>IF('Encodage réponses Es'!J17="","",'Encodage réponses Es'!J17)</f>
      </c>
      <c r="V18" s="100">
        <f>IF('Encodage réponses Es'!AP17="","",'Encodage réponses Es'!AP17)</f>
      </c>
      <c r="W18" s="358">
        <f t="shared" si="11"/>
      </c>
      <c r="X18" s="359"/>
      <c r="Y18" s="167">
        <f>IF('Encodage réponses Es'!H17="","",'Encodage réponses Es'!H17)</f>
      </c>
      <c r="Z18" s="167">
        <f>IF('Encodage réponses Es'!I17="","",'Encodage réponses Es'!I17)</f>
      </c>
      <c r="AA18" s="167">
        <f>IF('Encodage réponses Es'!J17="","",'Encodage réponses Es'!J17)</f>
      </c>
      <c r="AB18" s="167">
        <f>IF('Encodage réponses Es'!K17="","",'Encodage réponses Es'!K17)</f>
      </c>
      <c r="AC18" s="167">
        <f>IF('Encodage réponses Es'!L17="","",'Encodage réponses Es'!L17)</f>
      </c>
      <c r="AD18" s="167">
        <f>IF('Encodage réponses Es'!Q17="","",'Encodage réponses Es'!Q17)</f>
      </c>
      <c r="AE18" s="167">
        <f>IF('Encodage réponses Es'!R17="","",'Encodage réponses Es'!R17)</f>
      </c>
      <c r="AF18" s="167">
        <f>IF('Encodage réponses Es'!S17="","",'Encodage réponses Es'!S17)</f>
      </c>
      <c r="AG18" s="167">
        <f>IF('Encodage réponses Es'!T17="","",'Encodage réponses Es'!T17)</f>
      </c>
      <c r="AH18" s="167">
        <f>IF('Encodage réponses Es'!U17="","",'Encodage réponses Es'!U17)</f>
      </c>
      <c r="AI18" s="167">
        <f>IF('Encodage réponses Es'!V17="","",'Encodage réponses Es'!V17)</f>
      </c>
      <c r="AJ18" s="167">
        <f>IF('Encodage réponses Es'!W17="","",'Encodage réponses Es'!W17)</f>
      </c>
      <c r="AK18" s="167">
        <f>IF('Encodage réponses Es'!X17="","",'Encodage réponses Es'!X17)</f>
      </c>
      <c r="AL18" s="167">
        <f>IF('Encodage réponses Es'!Y17="","",'Encodage réponses Es'!Y17)</f>
      </c>
      <c r="AM18" s="167">
        <f>IF('Encodage réponses Es'!Z17="","",'Encodage réponses Es'!Z17)</f>
      </c>
      <c r="AN18" s="167">
        <f>IF('Encodage réponses Es'!AA17="","",'Encodage réponses Es'!AA17)</f>
      </c>
      <c r="AO18" s="358">
        <f t="shared" si="12"/>
      </c>
      <c r="AP18" s="359"/>
      <c r="AQ18" s="55">
        <f t="shared" si="27"/>
      </c>
      <c r="AR18" s="55">
        <f t="shared" si="13"/>
      </c>
      <c r="AS18" s="241">
        <f>IF('Encodage réponses Es'!M17="","",'Encodage réponses Es'!M17)</f>
      </c>
      <c r="AT18" s="167">
        <f>IF('Encodage réponses Es'!N17="","",'Encodage réponses Es'!N17)</f>
      </c>
      <c r="AU18" s="167">
        <f>IF('Encodage réponses Es'!O17="","",'Encodage réponses Es'!O17)</f>
      </c>
      <c r="AV18" s="167">
        <f>IF('Encodage réponses Es'!P17="","",'Encodage réponses Es'!P17)</f>
      </c>
      <c r="AW18" s="358">
        <f t="shared" si="14"/>
      </c>
      <c r="AX18" s="359"/>
      <c r="AY18" s="167">
        <f>IF('Encodage réponses Es'!AB17="","",'Encodage réponses Es'!AB17)</f>
      </c>
      <c r="AZ18" s="167">
        <f>IF('Encodage réponses Es'!AC17="","",'Encodage réponses Es'!AC17)</f>
      </c>
      <c r="BA18" s="167">
        <f>IF('Encodage réponses Es'!AD17="","",'Encodage réponses Es'!AD17)</f>
      </c>
      <c r="BB18" s="167">
        <f>IF('Encodage réponses Es'!AE17="","",'Encodage réponses Es'!AE17)</f>
      </c>
      <c r="BC18" s="167">
        <f>IF('Encodage réponses Es'!AF17="","",'Encodage réponses Es'!AF17)</f>
      </c>
      <c r="BD18" s="167">
        <f>IF('Encodage réponses Es'!AG17="","",'Encodage réponses Es'!AG17)</f>
      </c>
      <c r="BE18" s="167">
        <f>IF('Encodage réponses Es'!AH17="","",'Encodage réponses Es'!AH17)</f>
      </c>
      <c r="BF18" s="167">
        <f>IF('Encodage réponses Es'!AI17="","",'Encodage réponses Es'!AI17)</f>
      </c>
      <c r="BG18" s="55">
        <f t="shared" si="15"/>
      </c>
      <c r="BH18" s="221">
        <f t="shared" si="16"/>
      </c>
      <c r="BI18" s="150">
        <f t="shared" si="17"/>
      </c>
      <c r="BJ18" s="54">
        <f t="shared" si="18"/>
      </c>
      <c r="BK18" s="167">
        <f>IF('Encodage réponses Es'!BQ17="","",'Encodage réponses Es'!BQ17)</f>
      </c>
      <c r="BL18" s="167">
        <f>IF('Encodage réponses Es'!BR17="","",'Encodage réponses Es'!BR17)</f>
      </c>
      <c r="BM18" s="167">
        <f>IF('Encodage réponses Es'!BS17="","",'Encodage réponses Es'!BS17)</f>
      </c>
      <c r="BN18" s="167">
        <f>IF('Encodage réponses Es'!BT17="","",'Encodage réponses Es'!BT17)</f>
      </c>
      <c r="BO18" s="289"/>
      <c r="BP18" s="358">
        <f t="shared" si="19"/>
      </c>
      <c r="BQ18" s="359"/>
      <c r="BR18" s="167">
        <f>IF('Encodage réponses Es'!BV17="","",'Encodage réponses Es'!BV17)</f>
      </c>
      <c r="BS18" s="167">
        <f>IF('Encodage réponses Es'!BW17="","",'Encodage réponses Es'!BW17)</f>
      </c>
      <c r="BT18" s="167">
        <f>IF('Encodage réponses Es'!BX17="","",'Encodage réponses Es'!BX17)</f>
      </c>
      <c r="BU18" s="167">
        <f>IF('Encodage réponses Es'!BY17="","",'Encodage réponses Es'!BY17)</f>
      </c>
      <c r="BV18" s="167">
        <f>IF('Encodage réponses Es'!BZ17="","",'Encodage réponses Es'!BZ17)</f>
      </c>
      <c r="BW18" s="251">
        <f t="shared" si="20"/>
      </c>
      <c r="BX18" s="221">
        <f t="shared" si="21"/>
      </c>
      <c r="BY18" s="167">
        <f>IF('Encodage réponses Es'!CF17="","",'Encodage réponses Es'!CF17)</f>
      </c>
      <c r="BZ18" s="167">
        <f>IF('Encodage réponses Es'!CG17="","",'Encodage réponses Es'!CG17)</f>
      </c>
      <c r="CA18" s="358">
        <f t="shared" si="22"/>
      </c>
      <c r="CB18" s="359"/>
      <c r="CC18" s="167">
        <f>IF('Encodage réponses Es'!CA17="","",'Encodage réponses Es'!CA17)</f>
      </c>
      <c r="CD18" s="167">
        <f>IF('Encodage réponses Es'!CB17="","",'Encodage réponses Es'!CB17)</f>
      </c>
      <c r="CE18" s="167">
        <f>IF('Encodage réponses Es'!CC17="","",'Encodage réponses Es'!CC17)</f>
      </c>
      <c r="CF18" s="167">
        <f>IF('Encodage réponses Es'!CD17="","",'Encodage réponses Es'!CD17)</f>
      </c>
      <c r="CG18" s="167">
        <f>IF('Encodage réponses Es'!CE17="","",'Encodage réponses Es'!CE17)</f>
      </c>
      <c r="CH18" s="330">
        <f t="shared" si="23"/>
      </c>
      <c r="CI18" s="331"/>
      <c r="CJ18" s="167">
        <f>IF('Encodage réponses Es'!AJ17="","",'Encodage réponses Es'!AJ17)</f>
      </c>
      <c r="CK18" s="167">
        <f>IF('Encodage réponses Es'!AK17="","",'Encodage réponses Es'!AK17)</f>
      </c>
      <c r="CL18" s="167">
        <f>IF('Encodage réponses Es'!AL17="","",'Encodage réponses Es'!AL17)</f>
      </c>
      <c r="CM18" s="167">
        <f>IF('Encodage réponses Es'!AM17="","",'Encodage réponses Es'!AM17)</f>
      </c>
      <c r="CN18" s="167">
        <f>IF('Encodage réponses Es'!AN17="","",'Encodage réponses Es'!AN17)</f>
      </c>
      <c r="CO18" s="167">
        <f>IF('Encodage réponses Es'!AO17="","",'Encodage réponses Es'!AO17)</f>
      </c>
      <c r="CP18" s="167">
        <f>IF('Encodage réponses Es'!AP17="","",'Encodage réponses Es'!AP17)</f>
      </c>
      <c r="CQ18" s="167">
        <f>IF('Encodage réponses Es'!AQ17="","",'Encodage réponses Es'!AQ17)</f>
      </c>
      <c r="CR18" s="167">
        <f>IF('Encodage réponses Es'!AR17="","",'Encodage réponses Es'!AR17)</f>
      </c>
      <c r="CS18" s="167">
        <f>IF('Encodage réponses Es'!AS17="","",'Encodage réponses Es'!AS17)</f>
      </c>
      <c r="CT18" s="167">
        <f>IF('Encodage réponses Es'!AT17="","",'Encodage réponses Es'!AT17)</f>
      </c>
      <c r="CU18" s="167">
        <f>IF('Encodage réponses Es'!AU17="","",'Encodage réponses Es'!AU17)</f>
      </c>
      <c r="CV18" s="358">
        <f t="shared" si="24"/>
      </c>
      <c r="CW18" s="359"/>
      <c r="CX18" s="167">
        <f>IF('Encodage réponses Es'!AV17="","",'Encodage réponses Es'!AV17)</f>
      </c>
      <c r="CY18" s="167">
        <f>IF('Encodage réponses Es'!AW17="","",'Encodage réponses Es'!AW17)</f>
      </c>
      <c r="CZ18" s="167">
        <f>IF('Encodage réponses Es'!AX17="","",'Encodage réponses Es'!AX17)</f>
      </c>
      <c r="DA18" s="167">
        <f>IF('Encodage réponses Es'!AY17="","",'Encodage réponses Es'!AY17)</f>
      </c>
      <c r="DB18" s="167">
        <f>IF('Encodage réponses Es'!AZ17="","",'Encodage réponses Es'!AZ17)</f>
      </c>
      <c r="DC18" s="167">
        <f>IF('Encodage réponses Es'!BA17="","",'Encodage réponses Es'!BA17)</f>
      </c>
      <c r="DD18" s="167">
        <f>IF('Encodage réponses Es'!BB17="","",'Encodage réponses Es'!BB17)</f>
      </c>
      <c r="DE18" s="358">
        <f t="shared" si="25"/>
      </c>
      <c r="DF18" s="359"/>
      <c r="DG18" s="167">
        <f>IF('Encodage réponses Es'!BC17="","",'Encodage réponses Es'!BC17)</f>
      </c>
      <c r="DH18" s="167">
        <f>IF('Encodage réponses Es'!BD17="","",'Encodage réponses Es'!BD17)</f>
      </c>
      <c r="DI18" s="167">
        <f>IF('Encodage réponses Es'!BE17="","",'Encodage réponses Es'!BE17)</f>
      </c>
      <c r="DJ18" s="167">
        <f>IF('Encodage réponses Es'!BF17="","",'Encodage réponses Es'!BF17)</f>
      </c>
      <c r="DK18" s="167">
        <f>IF('Encodage réponses Es'!BG17="","",'Encodage réponses Es'!BG17)</f>
      </c>
      <c r="DL18" s="167">
        <f>IF('Encodage réponses Es'!BH17="","",'Encodage réponses Es'!BH17)</f>
      </c>
      <c r="DM18" s="167">
        <f>IF('Encodage réponses Es'!BI17="","",'Encodage réponses Es'!BI17)</f>
      </c>
      <c r="DN18" s="167">
        <f>IF('Encodage réponses Es'!BJ17="","",'Encodage réponses Es'!BJ17)</f>
      </c>
      <c r="DO18" s="167">
        <f>IF('Encodage réponses Es'!BK17="","",'Encodage réponses Es'!BK17)</f>
      </c>
      <c r="DP18" s="167">
        <f>IF('Encodage réponses Es'!BL17="","",'Encodage réponses Es'!BL17)</f>
      </c>
      <c r="DQ18" s="167">
        <f>IF('Encodage réponses Es'!BM17="","",'Encodage réponses Es'!BM17)</f>
      </c>
      <c r="DR18" s="167">
        <f>IF('Encodage réponses Es'!BN17="","",'Encodage réponses Es'!BN17)</f>
      </c>
      <c r="DS18" s="167">
        <f>IF('Encodage réponses Es'!BO17="","",'Encodage réponses Es'!BO17)</f>
      </c>
      <c r="DT18" s="167">
        <f>IF('Encodage réponses Es'!BP17="","",'Encodage réponses Es'!BP17)</f>
      </c>
      <c r="DU18" s="330">
        <f t="shared" si="26"/>
      </c>
      <c r="DV18" s="331"/>
    </row>
    <row r="19" spans="1:126" ht="11.25" customHeight="1">
      <c r="A19" s="181"/>
      <c r="B19"/>
      <c r="C19" s="278">
        <f>IF('Encodage réponses Es'!C18="","",'Encodage réponses Es'!C18)</f>
        <v>16</v>
      </c>
      <c r="D19" s="340"/>
      <c r="E19" s="291">
        <f t="shared" si="1"/>
      </c>
      <c r="F19" s="290">
        <f t="shared" si="2"/>
      </c>
      <c r="G19" s="322"/>
      <c r="H19" s="291">
        <f t="shared" si="3"/>
      </c>
      <c r="I19" s="29"/>
      <c r="J19" s="291">
        <f t="shared" si="4"/>
      </c>
      <c r="K19" s="290">
        <f t="shared" si="5"/>
      </c>
      <c r="L19" s="291">
        <f t="shared" si="6"/>
      </c>
      <c r="M19" s="290">
        <f t="shared" si="7"/>
      </c>
      <c r="N19" s="291">
        <f t="shared" si="8"/>
      </c>
      <c r="O19" s="290">
        <f t="shared" si="9"/>
      </c>
      <c r="P19" s="291">
        <f>IF(DU19="","",Résultats!DU19)</f>
      </c>
      <c r="Q19" s="292">
        <f t="shared" si="10"/>
      </c>
      <c r="R19" s="181"/>
      <c r="S19" s="284"/>
      <c r="T19" s="186">
        <f>IF('Encodage réponses Es'!E18="","",'Encodage réponses Es'!E18)</f>
      </c>
      <c r="U19" s="100">
        <f>IF('Encodage réponses Es'!J18="","",'Encodage réponses Es'!J18)</f>
      </c>
      <c r="V19" s="100">
        <f>IF('Encodage réponses Es'!AP18="","",'Encodage réponses Es'!AP18)</f>
      </c>
      <c r="W19" s="358">
        <f t="shared" si="11"/>
      </c>
      <c r="X19" s="359"/>
      <c r="Y19" s="167">
        <f>IF('Encodage réponses Es'!H18="","",'Encodage réponses Es'!H18)</f>
      </c>
      <c r="Z19" s="167">
        <f>IF('Encodage réponses Es'!I18="","",'Encodage réponses Es'!I18)</f>
      </c>
      <c r="AA19" s="167">
        <f>IF('Encodage réponses Es'!J18="","",'Encodage réponses Es'!J18)</f>
      </c>
      <c r="AB19" s="167">
        <f>IF('Encodage réponses Es'!K18="","",'Encodage réponses Es'!K18)</f>
      </c>
      <c r="AC19" s="167">
        <f>IF('Encodage réponses Es'!L18="","",'Encodage réponses Es'!L18)</f>
      </c>
      <c r="AD19" s="167">
        <f>IF('Encodage réponses Es'!Q18="","",'Encodage réponses Es'!Q18)</f>
      </c>
      <c r="AE19" s="167">
        <f>IF('Encodage réponses Es'!R18="","",'Encodage réponses Es'!R18)</f>
      </c>
      <c r="AF19" s="167">
        <f>IF('Encodage réponses Es'!S18="","",'Encodage réponses Es'!S18)</f>
      </c>
      <c r="AG19" s="167">
        <f>IF('Encodage réponses Es'!T18="","",'Encodage réponses Es'!T18)</f>
      </c>
      <c r="AH19" s="167">
        <f>IF('Encodage réponses Es'!U18="","",'Encodage réponses Es'!U18)</f>
      </c>
      <c r="AI19" s="167">
        <f>IF('Encodage réponses Es'!V18="","",'Encodage réponses Es'!V18)</f>
      </c>
      <c r="AJ19" s="167">
        <f>IF('Encodage réponses Es'!W18="","",'Encodage réponses Es'!W18)</f>
      </c>
      <c r="AK19" s="167">
        <f>IF('Encodage réponses Es'!X18="","",'Encodage réponses Es'!X18)</f>
      </c>
      <c r="AL19" s="167">
        <f>IF('Encodage réponses Es'!Y18="","",'Encodage réponses Es'!Y18)</f>
      </c>
      <c r="AM19" s="167">
        <f>IF('Encodage réponses Es'!Z18="","",'Encodage réponses Es'!Z18)</f>
      </c>
      <c r="AN19" s="167">
        <f>IF('Encodage réponses Es'!AA18="","",'Encodage réponses Es'!AA18)</f>
      </c>
      <c r="AO19" s="358">
        <f t="shared" si="12"/>
      </c>
      <c r="AP19" s="359"/>
      <c r="AQ19" s="55">
        <f t="shared" si="27"/>
      </c>
      <c r="AR19" s="55">
        <f t="shared" si="13"/>
      </c>
      <c r="AS19" s="241">
        <f>IF('Encodage réponses Es'!M18="","",'Encodage réponses Es'!M18)</f>
      </c>
      <c r="AT19" s="167">
        <f>IF('Encodage réponses Es'!N18="","",'Encodage réponses Es'!N18)</f>
      </c>
      <c r="AU19" s="167">
        <f>IF('Encodage réponses Es'!O18="","",'Encodage réponses Es'!O18)</f>
      </c>
      <c r="AV19" s="167">
        <f>IF('Encodage réponses Es'!P18="","",'Encodage réponses Es'!P18)</f>
      </c>
      <c r="AW19" s="358">
        <f t="shared" si="14"/>
      </c>
      <c r="AX19" s="359"/>
      <c r="AY19" s="167">
        <f>IF('Encodage réponses Es'!AB18="","",'Encodage réponses Es'!AB18)</f>
      </c>
      <c r="AZ19" s="167">
        <f>IF('Encodage réponses Es'!AC18="","",'Encodage réponses Es'!AC18)</f>
      </c>
      <c r="BA19" s="167">
        <f>IF('Encodage réponses Es'!AD18="","",'Encodage réponses Es'!AD18)</f>
      </c>
      <c r="BB19" s="167">
        <f>IF('Encodage réponses Es'!AE18="","",'Encodage réponses Es'!AE18)</f>
      </c>
      <c r="BC19" s="167">
        <f>IF('Encodage réponses Es'!AF18="","",'Encodage réponses Es'!AF18)</f>
      </c>
      <c r="BD19" s="167">
        <f>IF('Encodage réponses Es'!AG18="","",'Encodage réponses Es'!AG18)</f>
      </c>
      <c r="BE19" s="167">
        <f>IF('Encodage réponses Es'!AH18="","",'Encodage réponses Es'!AH18)</f>
      </c>
      <c r="BF19" s="167">
        <f>IF('Encodage réponses Es'!AI18="","",'Encodage réponses Es'!AI18)</f>
      </c>
      <c r="BG19" s="55">
        <f t="shared" si="15"/>
      </c>
      <c r="BH19" s="221">
        <f t="shared" si="16"/>
      </c>
      <c r="BI19" s="150">
        <f t="shared" si="17"/>
      </c>
      <c r="BJ19" s="54">
        <f t="shared" si="18"/>
      </c>
      <c r="BK19" s="167">
        <f>IF('Encodage réponses Es'!BQ18="","",'Encodage réponses Es'!BQ18)</f>
      </c>
      <c r="BL19" s="167">
        <f>IF('Encodage réponses Es'!BR18="","",'Encodage réponses Es'!BR18)</f>
      </c>
      <c r="BM19" s="167">
        <f>IF('Encodage réponses Es'!BS18="","",'Encodage réponses Es'!BS18)</f>
      </c>
      <c r="BN19" s="167">
        <f>IF('Encodage réponses Es'!BT18="","",'Encodage réponses Es'!BT18)</f>
      </c>
      <c r="BO19" s="289"/>
      <c r="BP19" s="358">
        <f t="shared" si="19"/>
      </c>
      <c r="BQ19" s="359"/>
      <c r="BR19" s="167">
        <f>IF('Encodage réponses Es'!BV18="","",'Encodage réponses Es'!BV18)</f>
      </c>
      <c r="BS19" s="167">
        <f>IF('Encodage réponses Es'!BW18="","",'Encodage réponses Es'!BW18)</f>
      </c>
      <c r="BT19" s="167">
        <f>IF('Encodage réponses Es'!BX18="","",'Encodage réponses Es'!BX18)</f>
      </c>
      <c r="BU19" s="167">
        <f>IF('Encodage réponses Es'!BY18="","",'Encodage réponses Es'!BY18)</f>
      </c>
      <c r="BV19" s="167">
        <f>IF('Encodage réponses Es'!BZ18="","",'Encodage réponses Es'!BZ18)</f>
      </c>
      <c r="BW19" s="251">
        <f t="shared" si="20"/>
      </c>
      <c r="BX19" s="221">
        <f t="shared" si="21"/>
      </c>
      <c r="BY19" s="167">
        <f>IF('Encodage réponses Es'!CF18="","",'Encodage réponses Es'!CF18)</f>
      </c>
      <c r="BZ19" s="167">
        <f>IF('Encodage réponses Es'!CG18="","",'Encodage réponses Es'!CG18)</f>
      </c>
      <c r="CA19" s="358">
        <f t="shared" si="22"/>
      </c>
      <c r="CB19" s="359"/>
      <c r="CC19" s="167">
        <f>IF('Encodage réponses Es'!CA18="","",'Encodage réponses Es'!CA18)</f>
      </c>
      <c r="CD19" s="167">
        <f>IF('Encodage réponses Es'!CB18="","",'Encodage réponses Es'!CB18)</f>
      </c>
      <c r="CE19" s="167">
        <f>IF('Encodage réponses Es'!CC18="","",'Encodage réponses Es'!CC18)</f>
      </c>
      <c r="CF19" s="167">
        <f>IF('Encodage réponses Es'!CD18="","",'Encodage réponses Es'!CD18)</f>
      </c>
      <c r="CG19" s="167">
        <f>IF('Encodage réponses Es'!CE18="","",'Encodage réponses Es'!CE18)</f>
      </c>
      <c r="CH19" s="330">
        <f t="shared" si="23"/>
      </c>
      <c r="CI19" s="331"/>
      <c r="CJ19" s="167">
        <f>IF('Encodage réponses Es'!AJ18="","",'Encodage réponses Es'!AJ18)</f>
      </c>
      <c r="CK19" s="167">
        <f>IF('Encodage réponses Es'!AK18="","",'Encodage réponses Es'!AK18)</f>
      </c>
      <c r="CL19" s="167">
        <f>IF('Encodage réponses Es'!AL18="","",'Encodage réponses Es'!AL18)</f>
      </c>
      <c r="CM19" s="167">
        <f>IF('Encodage réponses Es'!AM18="","",'Encodage réponses Es'!AM18)</f>
      </c>
      <c r="CN19" s="167">
        <f>IF('Encodage réponses Es'!AN18="","",'Encodage réponses Es'!AN18)</f>
      </c>
      <c r="CO19" s="167">
        <f>IF('Encodage réponses Es'!AO18="","",'Encodage réponses Es'!AO18)</f>
      </c>
      <c r="CP19" s="167">
        <f>IF('Encodage réponses Es'!AP18="","",'Encodage réponses Es'!AP18)</f>
      </c>
      <c r="CQ19" s="167">
        <f>IF('Encodage réponses Es'!AQ18="","",'Encodage réponses Es'!AQ18)</f>
      </c>
      <c r="CR19" s="167">
        <f>IF('Encodage réponses Es'!AR18="","",'Encodage réponses Es'!AR18)</f>
      </c>
      <c r="CS19" s="167">
        <f>IF('Encodage réponses Es'!AS18="","",'Encodage réponses Es'!AS18)</f>
      </c>
      <c r="CT19" s="167">
        <f>IF('Encodage réponses Es'!AT18="","",'Encodage réponses Es'!AT18)</f>
      </c>
      <c r="CU19" s="167">
        <f>IF('Encodage réponses Es'!AU18="","",'Encodage réponses Es'!AU18)</f>
      </c>
      <c r="CV19" s="358">
        <f t="shared" si="24"/>
      </c>
      <c r="CW19" s="359"/>
      <c r="CX19" s="167">
        <f>IF('Encodage réponses Es'!AV18="","",'Encodage réponses Es'!AV18)</f>
      </c>
      <c r="CY19" s="167">
        <f>IF('Encodage réponses Es'!AW18="","",'Encodage réponses Es'!AW18)</f>
      </c>
      <c r="CZ19" s="167">
        <f>IF('Encodage réponses Es'!AX18="","",'Encodage réponses Es'!AX18)</f>
      </c>
      <c r="DA19" s="167">
        <f>IF('Encodage réponses Es'!AY18="","",'Encodage réponses Es'!AY18)</f>
      </c>
      <c r="DB19" s="167">
        <f>IF('Encodage réponses Es'!AZ18="","",'Encodage réponses Es'!AZ18)</f>
      </c>
      <c r="DC19" s="167">
        <f>IF('Encodage réponses Es'!BA18="","",'Encodage réponses Es'!BA18)</f>
      </c>
      <c r="DD19" s="167">
        <f>IF('Encodage réponses Es'!BB18="","",'Encodage réponses Es'!BB18)</f>
      </c>
      <c r="DE19" s="358">
        <f t="shared" si="25"/>
      </c>
      <c r="DF19" s="359"/>
      <c r="DG19" s="167">
        <f>IF('Encodage réponses Es'!BC18="","",'Encodage réponses Es'!BC18)</f>
      </c>
      <c r="DH19" s="167">
        <f>IF('Encodage réponses Es'!BD18="","",'Encodage réponses Es'!BD18)</f>
      </c>
      <c r="DI19" s="167">
        <f>IF('Encodage réponses Es'!BE18="","",'Encodage réponses Es'!BE18)</f>
      </c>
      <c r="DJ19" s="167">
        <f>IF('Encodage réponses Es'!BF18="","",'Encodage réponses Es'!BF18)</f>
      </c>
      <c r="DK19" s="167">
        <f>IF('Encodage réponses Es'!BG18="","",'Encodage réponses Es'!BG18)</f>
      </c>
      <c r="DL19" s="167">
        <f>IF('Encodage réponses Es'!BH18="","",'Encodage réponses Es'!BH18)</f>
      </c>
      <c r="DM19" s="167">
        <f>IF('Encodage réponses Es'!BI18="","",'Encodage réponses Es'!BI18)</f>
      </c>
      <c r="DN19" s="167">
        <f>IF('Encodage réponses Es'!BJ18="","",'Encodage réponses Es'!BJ18)</f>
      </c>
      <c r="DO19" s="167">
        <f>IF('Encodage réponses Es'!BK18="","",'Encodage réponses Es'!BK18)</f>
      </c>
      <c r="DP19" s="167">
        <f>IF('Encodage réponses Es'!BL18="","",'Encodage réponses Es'!BL18)</f>
      </c>
      <c r="DQ19" s="167">
        <f>IF('Encodage réponses Es'!BM18="","",'Encodage réponses Es'!BM18)</f>
      </c>
      <c r="DR19" s="167">
        <f>IF('Encodage réponses Es'!BN18="","",'Encodage réponses Es'!BN18)</f>
      </c>
      <c r="DS19" s="167">
        <f>IF('Encodage réponses Es'!BO18="","",'Encodage réponses Es'!BO18)</f>
      </c>
      <c r="DT19" s="167">
        <f>IF('Encodage réponses Es'!BP18="","",'Encodage réponses Es'!BP18)</f>
      </c>
      <c r="DU19" s="330">
        <f t="shared" si="26"/>
      </c>
      <c r="DV19" s="331"/>
    </row>
    <row r="20" spans="1:126" ht="11.25" customHeight="1">
      <c r="A20" s="181"/>
      <c r="B20"/>
      <c r="C20" s="278">
        <f>IF('Encodage réponses Es'!C19="","",'Encodage réponses Es'!C19)</f>
        <v>17</v>
      </c>
      <c r="D20" s="340"/>
      <c r="E20" s="291">
        <f t="shared" si="1"/>
      </c>
      <c r="F20" s="290">
        <f t="shared" si="2"/>
      </c>
      <c r="G20" s="322"/>
      <c r="H20" s="291">
        <f t="shared" si="3"/>
      </c>
      <c r="I20" s="29"/>
      <c r="J20" s="291">
        <f t="shared" si="4"/>
      </c>
      <c r="K20" s="290">
        <f t="shared" si="5"/>
      </c>
      <c r="L20" s="291">
        <f t="shared" si="6"/>
      </c>
      <c r="M20" s="290">
        <f t="shared" si="7"/>
      </c>
      <c r="N20" s="291">
        <f t="shared" si="8"/>
      </c>
      <c r="O20" s="290">
        <f t="shared" si="9"/>
      </c>
      <c r="P20" s="291">
        <f>IF(DU20="","",Résultats!DU20)</f>
      </c>
      <c r="Q20" s="292">
        <f t="shared" si="10"/>
      </c>
      <c r="R20" s="181"/>
      <c r="S20" s="284"/>
      <c r="T20" s="186">
        <f>IF('Encodage réponses Es'!E19="","",'Encodage réponses Es'!E19)</f>
      </c>
      <c r="U20" s="100">
        <f>IF('Encodage réponses Es'!J19="","",'Encodage réponses Es'!J19)</f>
      </c>
      <c r="V20" s="100">
        <f>IF('Encodage réponses Es'!AP19="","",'Encodage réponses Es'!AP19)</f>
      </c>
      <c r="W20" s="358">
        <f t="shared" si="11"/>
      </c>
      <c r="X20" s="359"/>
      <c r="Y20" s="167">
        <f>IF('Encodage réponses Es'!H19="","",'Encodage réponses Es'!H19)</f>
      </c>
      <c r="Z20" s="167">
        <f>IF('Encodage réponses Es'!I19="","",'Encodage réponses Es'!I19)</f>
      </c>
      <c r="AA20" s="167">
        <f>IF('Encodage réponses Es'!J19="","",'Encodage réponses Es'!J19)</f>
      </c>
      <c r="AB20" s="167">
        <f>IF('Encodage réponses Es'!K19="","",'Encodage réponses Es'!K19)</f>
      </c>
      <c r="AC20" s="167">
        <f>IF('Encodage réponses Es'!L19="","",'Encodage réponses Es'!L19)</f>
      </c>
      <c r="AD20" s="167">
        <f>IF('Encodage réponses Es'!Q19="","",'Encodage réponses Es'!Q19)</f>
      </c>
      <c r="AE20" s="167">
        <f>IF('Encodage réponses Es'!R19="","",'Encodage réponses Es'!R19)</f>
      </c>
      <c r="AF20" s="167">
        <f>IF('Encodage réponses Es'!S19="","",'Encodage réponses Es'!S19)</f>
      </c>
      <c r="AG20" s="167">
        <f>IF('Encodage réponses Es'!T19="","",'Encodage réponses Es'!T19)</f>
      </c>
      <c r="AH20" s="167">
        <f>IF('Encodage réponses Es'!U19="","",'Encodage réponses Es'!U19)</f>
      </c>
      <c r="AI20" s="167">
        <f>IF('Encodage réponses Es'!V19="","",'Encodage réponses Es'!V19)</f>
      </c>
      <c r="AJ20" s="167">
        <f>IF('Encodage réponses Es'!W19="","",'Encodage réponses Es'!W19)</f>
      </c>
      <c r="AK20" s="167">
        <f>IF('Encodage réponses Es'!X19="","",'Encodage réponses Es'!X19)</f>
      </c>
      <c r="AL20" s="167">
        <f>IF('Encodage réponses Es'!Y19="","",'Encodage réponses Es'!Y19)</f>
      </c>
      <c r="AM20" s="167">
        <f>IF('Encodage réponses Es'!Z19="","",'Encodage réponses Es'!Z19)</f>
      </c>
      <c r="AN20" s="167">
        <f>IF('Encodage réponses Es'!AA19="","",'Encodage réponses Es'!AA19)</f>
      </c>
      <c r="AO20" s="358">
        <f t="shared" si="12"/>
      </c>
      <c r="AP20" s="359"/>
      <c r="AQ20" s="55">
        <f t="shared" si="27"/>
      </c>
      <c r="AR20" s="55">
        <f t="shared" si="13"/>
      </c>
      <c r="AS20" s="241">
        <f>IF('Encodage réponses Es'!M19="","",'Encodage réponses Es'!M19)</f>
      </c>
      <c r="AT20" s="167">
        <f>IF('Encodage réponses Es'!N19="","",'Encodage réponses Es'!N19)</f>
      </c>
      <c r="AU20" s="167">
        <f>IF('Encodage réponses Es'!O19="","",'Encodage réponses Es'!O19)</f>
      </c>
      <c r="AV20" s="167">
        <f>IF('Encodage réponses Es'!P19="","",'Encodage réponses Es'!P19)</f>
      </c>
      <c r="AW20" s="358">
        <f t="shared" si="14"/>
      </c>
      <c r="AX20" s="359"/>
      <c r="AY20" s="167">
        <f>IF('Encodage réponses Es'!AB19="","",'Encodage réponses Es'!AB19)</f>
      </c>
      <c r="AZ20" s="167">
        <f>IF('Encodage réponses Es'!AC19="","",'Encodage réponses Es'!AC19)</f>
      </c>
      <c r="BA20" s="167">
        <f>IF('Encodage réponses Es'!AD19="","",'Encodage réponses Es'!AD19)</f>
      </c>
      <c r="BB20" s="167">
        <f>IF('Encodage réponses Es'!AE19="","",'Encodage réponses Es'!AE19)</f>
      </c>
      <c r="BC20" s="167">
        <f>IF('Encodage réponses Es'!AF19="","",'Encodage réponses Es'!AF19)</f>
      </c>
      <c r="BD20" s="167">
        <f>IF('Encodage réponses Es'!AG19="","",'Encodage réponses Es'!AG19)</f>
      </c>
      <c r="BE20" s="167">
        <f>IF('Encodage réponses Es'!AH19="","",'Encodage réponses Es'!AH19)</f>
      </c>
      <c r="BF20" s="167">
        <f>IF('Encodage réponses Es'!AI19="","",'Encodage réponses Es'!AI19)</f>
      </c>
      <c r="BG20" s="55">
        <f t="shared" si="15"/>
      </c>
      <c r="BH20" s="221">
        <f t="shared" si="16"/>
      </c>
      <c r="BI20" s="150">
        <f t="shared" si="17"/>
      </c>
      <c r="BJ20" s="54">
        <f t="shared" si="18"/>
      </c>
      <c r="BK20" s="167">
        <f>IF('Encodage réponses Es'!BQ19="","",'Encodage réponses Es'!BQ19)</f>
      </c>
      <c r="BL20" s="167">
        <f>IF('Encodage réponses Es'!BR19="","",'Encodage réponses Es'!BR19)</f>
      </c>
      <c r="BM20" s="167">
        <f>IF('Encodage réponses Es'!BS19="","",'Encodage réponses Es'!BS19)</f>
      </c>
      <c r="BN20" s="167">
        <f>IF('Encodage réponses Es'!BT19="","",'Encodage réponses Es'!BT19)</f>
      </c>
      <c r="BO20" s="289"/>
      <c r="BP20" s="358">
        <f t="shared" si="19"/>
      </c>
      <c r="BQ20" s="359"/>
      <c r="BR20" s="167">
        <f>IF('Encodage réponses Es'!BV19="","",'Encodage réponses Es'!BV19)</f>
      </c>
      <c r="BS20" s="167">
        <f>IF('Encodage réponses Es'!BW19="","",'Encodage réponses Es'!BW19)</f>
      </c>
      <c r="BT20" s="167">
        <f>IF('Encodage réponses Es'!BX19="","",'Encodage réponses Es'!BX19)</f>
      </c>
      <c r="BU20" s="167">
        <f>IF('Encodage réponses Es'!BY19="","",'Encodage réponses Es'!BY19)</f>
      </c>
      <c r="BV20" s="167">
        <f>IF('Encodage réponses Es'!BZ19="","",'Encodage réponses Es'!BZ19)</f>
      </c>
      <c r="BW20" s="251">
        <f t="shared" si="20"/>
      </c>
      <c r="BX20" s="221">
        <f t="shared" si="21"/>
      </c>
      <c r="BY20" s="167">
        <f>IF('Encodage réponses Es'!CF19="","",'Encodage réponses Es'!CF19)</f>
      </c>
      <c r="BZ20" s="167">
        <f>IF('Encodage réponses Es'!CG19="","",'Encodage réponses Es'!CG19)</f>
      </c>
      <c r="CA20" s="358">
        <f t="shared" si="22"/>
      </c>
      <c r="CB20" s="359"/>
      <c r="CC20" s="167">
        <f>IF('Encodage réponses Es'!CA19="","",'Encodage réponses Es'!CA19)</f>
      </c>
      <c r="CD20" s="167">
        <f>IF('Encodage réponses Es'!CB19="","",'Encodage réponses Es'!CB19)</f>
      </c>
      <c r="CE20" s="167">
        <f>IF('Encodage réponses Es'!CC19="","",'Encodage réponses Es'!CC19)</f>
      </c>
      <c r="CF20" s="167">
        <f>IF('Encodage réponses Es'!CD19="","",'Encodage réponses Es'!CD19)</f>
      </c>
      <c r="CG20" s="167">
        <f>IF('Encodage réponses Es'!CE19="","",'Encodage réponses Es'!CE19)</f>
      </c>
      <c r="CH20" s="330">
        <f t="shared" si="23"/>
      </c>
      <c r="CI20" s="331"/>
      <c r="CJ20" s="167">
        <f>IF('Encodage réponses Es'!AJ19="","",'Encodage réponses Es'!AJ19)</f>
      </c>
      <c r="CK20" s="167">
        <f>IF('Encodage réponses Es'!AK19="","",'Encodage réponses Es'!AK19)</f>
      </c>
      <c r="CL20" s="167">
        <f>IF('Encodage réponses Es'!AL19="","",'Encodage réponses Es'!AL19)</f>
      </c>
      <c r="CM20" s="167">
        <f>IF('Encodage réponses Es'!AM19="","",'Encodage réponses Es'!AM19)</f>
      </c>
      <c r="CN20" s="167">
        <f>IF('Encodage réponses Es'!AN19="","",'Encodage réponses Es'!AN19)</f>
      </c>
      <c r="CO20" s="167">
        <f>IF('Encodage réponses Es'!AO19="","",'Encodage réponses Es'!AO19)</f>
      </c>
      <c r="CP20" s="167">
        <f>IF('Encodage réponses Es'!AP19="","",'Encodage réponses Es'!AP19)</f>
      </c>
      <c r="CQ20" s="167">
        <f>IF('Encodage réponses Es'!AQ19="","",'Encodage réponses Es'!AQ19)</f>
      </c>
      <c r="CR20" s="167">
        <f>IF('Encodage réponses Es'!AR19="","",'Encodage réponses Es'!AR19)</f>
      </c>
      <c r="CS20" s="167">
        <f>IF('Encodage réponses Es'!AS19="","",'Encodage réponses Es'!AS19)</f>
      </c>
      <c r="CT20" s="167">
        <f>IF('Encodage réponses Es'!AT19="","",'Encodage réponses Es'!AT19)</f>
      </c>
      <c r="CU20" s="167">
        <f>IF('Encodage réponses Es'!AU19="","",'Encodage réponses Es'!AU19)</f>
      </c>
      <c r="CV20" s="358">
        <f t="shared" si="24"/>
      </c>
      <c r="CW20" s="359"/>
      <c r="CX20" s="167">
        <f>IF('Encodage réponses Es'!AV19="","",'Encodage réponses Es'!AV19)</f>
      </c>
      <c r="CY20" s="167">
        <f>IF('Encodage réponses Es'!AW19="","",'Encodage réponses Es'!AW19)</f>
      </c>
      <c r="CZ20" s="167">
        <f>IF('Encodage réponses Es'!AX19="","",'Encodage réponses Es'!AX19)</f>
      </c>
      <c r="DA20" s="167">
        <f>IF('Encodage réponses Es'!AY19="","",'Encodage réponses Es'!AY19)</f>
      </c>
      <c r="DB20" s="167">
        <f>IF('Encodage réponses Es'!AZ19="","",'Encodage réponses Es'!AZ19)</f>
      </c>
      <c r="DC20" s="167">
        <f>IF('Encodage réponses Es'!BA19="","",'Encodage réponses Es'!BA19)</f>
      </c>
      <c r="DD20" s="167">
        <f>IF('Encodage réponses Es'!BB19="","",'Encodage réponses Es'!BB19)</f>
      </c>
      <c r="DE20" s="358">
        <f t="shared" si="25"/>
      </c>
      <c r="DF20" s="359"/>
      <c r="DG20" s="167">
        <f>IF('Encodage réponses Es'!BC19="","",'Encodage réponses Es'!BC19)</f>
      </c>
      <c r="DH20" s="167">
        <f>IF('Encodage réponses Es'!BD19="","",'Encodage réponses Es'!BD19)</f>
      </c>
      <c r="DI20" s="167">
        <f>IF('Encodage réponses Es'!BE19="","",'Encodage réponses Es'!BE19)</f>
      </c>
      <c r="DJ20" s="167">
        <f>IF('Encodage réponses Es'!BF19="","",'Encodage réponses Es'!BF19)</f>
      </c>
      <c r="DK20" s="167">
        <f>IF('Encodage réponses Es'!BG19="","",'Encodage réponses Es'!BG19)</f>
      </c>
      <c r="DL20" s="167">
        <f>IF('Encodage réponses Es'!BH19="","",'Encodage réponses Es'!BH19)</f>
      </c>
      <c r="DM20" s="167">
        <f>IF('Encodage réponses Es'!BI19="","",'Encodage réponses Es'!BI19)</f>
      </c>
      <c r="DN20" s="167">
        <f>IF('Encodage réponses Es'!BJ19="","",'Encodage réponses Es'!BJ19)</f>
      </c>
      <c r="DO20" s="167">
        <f>IF('Encodage réponses Es'!BK19="","",'Encodage réponses Es'!BK19)</f>
      </c>
      <c r="DP20" s="167">
        <f>IF('Encodage réponses Es'!BL19="","",'Encodage réponses Es'!BL19)</f>
      </c>
      <c r="DQ20" s="167">
        <f>IF('Encodage réponses Es'!BM19="","",'Encodage réponses Es'!BM19)</f>
      </c>
      <c r="DR20" s="167">
        <f>IF('Encodage réponses Es'!BN19="","",'Encodage réponses Es'!BN19)</f>
      </c>
      <c r="DS20" s="167">
        <f>IF('Encodage réponses Es'!BO19="","",'Encodage réponses Es'!BO19)</f>
      </c>
      <c r="DT20" s="167">
        <f>IF('Encodage réponses Es'!BP19="","",'Encodage réponses Es'!BP19)</f>
      </c>
      <c r="DU20" s="330">
        <f t="shared" si="26"/>
      </c>
      <c r="DV20" s="331"/>
    </row>
    <row r="21" spans="1:126" ht="11.25" customHeight="1">
      <c r="A21" s="181"/>
      <c r="B21"/>
      <c r="C21" s="278">
        <f>IF('Encodage réponses Es'!C20="","",'Encodage réponses Es'!C20)</f>
        <v>18</v>
      </c>
      <c r="D21" s="340"/>
      <c r="E21" s="291">
        <f t="shared" si="1"/>
      </c>
      <c r="F21" s="290">
        <f t="shared" si="2"/>
      </c>
      <c r="G21" s="322"/>
      <c r="H21" s="291">
        <f t="shared" si="3"/>
      </c>
      <c r="I21" s="29"/>
      <c r="J21" s="291">
        <f t="shared" si="4"/>
      </c>
      <c r="K21" s="290">
        <f t="shared" si="5"/>
      </c>
      <c r="L21" s="291">
        <f t="shared" si="6"/>
      </c>
      <c r="M21" s="290">
        <f t="shared" si="7"/>
      </c>
      <c r="N21" s="291">
        <f t="shared" si="8"/>
      </c>
      <c r="O21" s="290">
        <f t="shared" si="9"/>
      </c>
      <c r="P21" s="291">
        <f>IF(DU21="","",Résultats!DU21)</f>
      </c>
      <c r="Q21" s="292">
        <f t="shared" si="10"/>
      </c>
      <c r="R21" s="181"/>
      <c r="S21" s="284"/>
      <c r="T21" s="186">
        <f>IF('Encodage réponses Es'!E20="","",'Encodage réponses Es'!E20)</f>
      </c>
      <c r="U21" s="100">
        <f>IF('Encodage réponses Es'!J20="","",'Encodage réponses Es'!J20)</f>
      </c>
      <c r="V21" s="100">
        <f>IF('Encodage réponses Es'!AP20="","",'Encodage réponses Es'!AP20)</f>
      </c>
      <c r="W21" s="358">
        <f t="shared" si="11"/>
      </c>
      <c r="X21" s="359"/>
      <c r="Y21" s="167">
        <f>IF('Encodage réponses Es'!H20="","",'Encodage réponses Es'!H20)</f>
      </c>
      <c r="Z21" s="167">
        <f>IF('Encodage réponses Es'!I20="","",'Encodage réponses Es'!I20)</f>
      </c>
      <c r="AA21" s="167">
        <f>IF('Encodage réponses Es'!J20="","",'Encodage réponses Es'!J20)</f>
      </c>
      <c r="AB21" s="167">
        <f>IF('Encodage réponses Es'!K20="","",'Encodage réponses Es'!K20)</f>
      </c>
      <c r="AC21" s="167">
        <f>IF('Encodage réponses Es'!L20="","",'Encodage réponses Es'!L20)</f>
      </c>
      <c r="AD21" s="167">
        <f>IF('Encodage réponses Es'!Q20="","",'Encodage réponses Es'!Q20)</f>
      </c>
      <c r="AE21" s="167">
        <f>IF('Encodage réponses Es'!R20="","",'Encodage réponses Es'!R20)</f>
      </c>
      <c r="AF21" s="167">
        <f>IF('Encodage réponses Es'!S20="","",'Encodage réponses Es'!S20)</f>
      </c>
      <c r="AG21" s="167">
        <f>IF('Encodage réponses Es'!T20="","",'Encodage réponses Es'!T20)</f>
      </c>
      <c r="AH21" s="167">
        <f>IF('Encodage réponses Es'!U20="","",'Encodage réponses Es'!U20)</f>
      </c>
      <c r="AI21" s="167">
        <f>IF('Encodage réponses Es'!V20="","",'Encodage réponses Es'!V20)</f>
      </c>
      <c r="AJ21" s="167">
        <f>IF('Encodage réponses Es'!W20="","",'Encodage réponses Es'!W20)</f>
      </c>
      <c r="AK21" s="167">
        <f>IF('Encodage réponses Es'!X20="","",'Encodage réponses Es'!X20)</f>
      </c>
      <c r="AL21" s="167">
        <f>IF('Encodage réponses Es'!Y20="","",'Encodage réponses Es'!Y20)</f>
      </c>
      <c r="AM21" s="167">
        <f>IF('Encodage réponses Es'!Z20="","",'Encodage réponses Es'!Z20)</f>
      </c>
      <c r="AN21" s="167">
        <f>IF('Encodage réponses Es'!AA20="","",'Encodage réponses Es'!AA20)</f>
      </c>
      <c r="AO21" s="358">
        <f t="shared" si="12"/>
      </c>
      <c r="AP21" s="359"/>
      <c r="AQ21" s="55">
        <f t="shared" si="27"/>
      </c>
      <c r="AR21" s="55">
        <f t="shared" si="13"/>
      </c>
      <c r="AS21" s="241">
        <f>IF('Encodage réponses Es'!M20="","",'Encodage réponses Es'!M20)</f>
      </c>
      <c r="AT21" s="167">
        <f>IF('Encodage réponses Es'!N20="","",'Encodage réponses Es'!N20)</f>
      </c>
      <c r="AU21" s="167">
        <f>IF('Encodage réponses Es'!O20="","",'Encodage réponses Es'!O20)</f>
      </c>
      <c r="AV21" s="167">
        <f>IF('Encodage réponses Es'!P20="","",'Encodage réponses Es'!P20)</f>
      </c>
      <c r="AW21" s="358">
        <f t="shared" si="14"/>
      </c>
      <c r="AX21" s="359"/>
      <c r="AY21" s="167">
        <f>IF('Encodage réponses Es'!AB20="","",'Encodage réponses Es'!AB20)</f>
      </c>
      <c r="AZ21" s="167">
        <f>IF('Encodage réponses Es'!AC20="","",'Encodage réponses Es'!AC20)</f>
      </c>
      <c r="BA21" s="167">
        <f>IF('Encodage réponses Es'!AD20="","",'Encodage réponses Es'!AD20)</f>
      </c>
      <c r="BB21" s="167">
        <f>IF('Encodage réponses Es'!AE20="","",'Encodage réponses Es'!AE20)</f>
      </c>
      <c r="BC21" s="167">
        <f>IF('Encodage réponses Es'!AF20="","",'Encodage réponses Es'!AF20)</f>
      </c>
      <c r="BD21" s="167">
        <f>IF('Encodage réponses Es'!AG20="","",'Encodage réponses Es'!AG20)</f>
      </c>
      <c r="BE21" s="167">
        <f>IF('Encodage réponses Es'!AH20="","",'Encodage réponses Es'!AH20)</f>
      </c>
      <c r="BF21" s="167">
        <f>IF('Encodage réponses Es'!AI20="","",'Encodage réponses Es'!AI20)</f>
      </c>
      <c r="BG21" s="55">
        <f t="shared" si="15"/>
      </c>
      <c r="BH21" s="221">
        <f t="shared" si="16"/>
      </c>
      <c r="BI21" s="150">
        <f t="shared" si="17"/>
      </c>
      <c r="BJ21" s="54">
        <f t="shared" si="18"/>
      </c>
      <c r="BK21" s="167">
        <f>IF('Encodage réponses Es'!BQ20="","",'Encodage réponses Es'!BQ20)</f>
      </c>
      <c r="BL21" s="167">
        <f>IF('Encodage réponses Es'!BR20="","",'Encodage réponses Es'!BR20)</f>
      </c>
      <c r="BM21" s="167">
        <f>IF('Encodage réponses Es'!BS20="","",'Encodage réponses Es'!BS20)</f>
      </c>
      <c r="BN21" s="167">
        <f>IF('Encodage réponses Es'!BT20="","",'Encodage réponses Es'!BT20)</f>
      </c>
      <c r="BO21" s="289"/>
      <c r="BP21" s="358">
        <f t="shared" si="19"/>
      </c>
      <c r="BQ21" s="359"/>
      <c r="BR21" s="167">
        <f>IF('Encodage réponses Es'!BV20="","",'Encodage réponses Es'!BV20)</f>
      </c>
      <c r="BS21" s="167">
        <f>IF('Encodage réponses Es'!BW20="","",'Encodage réponses Es'!BW20)</f>
      </c>
      <c r="BT21" s="167">
        <f>IF('Encodage réponses Es'!BX20="","",'Encodage réponses Es'!BX20)</f>
      </c>
      <c r="BU21" s="167">
        <f>IF('Encodage réponses Es'!BY20="","",'Encodage réponses Es'!BY20)</f>
      </c>
      <c r="BV21" s="167">
        <f>IF('Encodage réponses Es'!BZ20="","",'Encodage réponses Es'!BZ20)</f>
      </c>
      <c r="BW21" s="251">
        <f t="shared" si="20"/>
      </c>
      <c r="BX21" s="221">
        <f t="shared" si="21"/>
      </c>
      <c r="BY21" s="167">
        <f>IF('Encodage réponses Es'!CF20="","",'Encodage réponses Es'!CF20)</f>
      </c>
      <c r="BZ21" s="167">
        <f>IF('Encodage réponses Es'!CG20="","",'Encodage réponses Es'!CG20)</f>
      </c>
      <c r="CA21" s="358">
        <f t="shared" si="22"/>
      </c>
      <c r="CB21" s="359"/>
      <c r="CC21" s="167">
        <f>IF('Encodage réponses Es'!CA20="","",'Encodage réponses Es'!CA20)</f>
      </c>
      <c r="CD21" s="167">
        <f>IF('Encodage réponses Es'!CB20="","",'Encodage réponses Es'!CB20)</f>
      </c>
      <c r="CE21" s="167">
        <f>IF('Encodage réponses Es'!CC20="","",'Encodage réponses Es'!CC20)</f>
      </c>
      <c r="CF21" s="167">
        <f>IF('Encodage réponses Es'!CD20="","",'Encodage réponses Es'!CD20)</f>
      </c>
      <c r="CG21" s="167">
        <f>IF('Encodage réponses Es'!CE20="","",'Encodage réponses Es'!CE20)</f>
      </c>
      <c r="CH21" s="330">
        <f t="shared" si="23"/>
      </c>
      <c r="CI21" s="331"/>
      <c r="CJ21" s="167">
        <f>IF('Encodage réponses Es'!AJ20="","",'Encodage réponses Es'!AJ20)</f>
      </c>
      <c r="CK21" s="167">
        <f>IF('Encodage réponses Es'!AK20="","",'Encodage réponses Es'!AK20)</f>
      </c>
      <c r="CL21" s="167">
        <f>IF('Encodage réponses Es'!AL20="","",'Encodage réponses Es'!AL20)</f>
      </c>
      <c r="CM21" s="167">
        <f>IF('Encodage réponses Es'!AM20="","",'Encodage réponses Es'!AM20)</f>
      </c>
      <c r="CN21" s="167">
        <f>IF('Encodage réponses Es'!AN20="","",'Encodage réponses Es'!AN20)</f>
      </c>
      <c r="CO21" s="167">
        <f>IF('Encodage réponses Es'!AO20="","",'Encodage réponses Es'!AO20)</f>
      </c>
      <c r="CP21" s="167">
        <f>IF('Encodage réponses Es'!AP20="","",'Encodage réponses Es'!AP20)</f>
      </c>
      <c r="CQ21" s="167">
        <f>IF('Encodage réponses Es'!AQ20="","",'Encodage réponses Es'!AQ20)</f>
      </c>
      <c r="CR21" s="167">
        <f>IF('Encodage réponses Es'!AR20="","",'Encodage réponses Es'!AR20)</f>
      </c>
      <c r="CS21" s="167">
        <f>IF('Encodage réponses Es'!AS20="","",'Encodage réponses Es'!AS20)</f>
      </c>
      <c r="CT21" s="167">
        <f>IF('Encodage réponses Es'!AT20="","",'Encodage réponses Es'!AT20)</f>
      </c>
      <c r="CU21" s="167">
        <f>IF('Encodage réponses Es'!AU20="","",'Encodage réponses Es'!AU20)</f>
      </c>
      <c r="CV21" s="358">
        <f t="shared" si="24"/>
      </c>
      <c r="CW21" s="359"/>
      <c r="CX21" s="167">
        <f>IF('Encodage réponses Es'!AV20="","",'Encodage réponses Es'!AV20)</f>
      </c>
      <c r="CY21" s="167">
        <f>IF('Encodage réponses Es'!AW20="","",'Encodage réponses Es'!AW20)</f>
      </c>
      <c r="CZ21" s="167">
        <f>IF('Encodage réponses Es'!AX20="","",'Encodage réponses Es'!AX20)</f>
      </c>
      <c r="DA21" s="167">
        <f>IF('Encodage réponses Es'!AY20="","",'Encodage réponses Es'!AY20)</f>
      </c>
      <c r="DB21" s="167">
        <f>IF('Encodage réponses Es'!AZ20="","",'Encodage réponses Es'!AZ20)</f>
      </c>
      <c r="DC21" s="167">
        <f>IF('Encodage réponses Es'!BA20="","",'Encodage réponses Es'!BA20)</f>
      </c>
      <c r="DD21" s="167">
        <f>IF('Encodage réponses Es'!BB20="","",'Encodage réponses Es'!BB20)</f>
      </c>
      <c r="DE21" s="358">
        <f t="shared" si="25"/>
      </c>
      <c r="DF21" s="359"/>
      <c r="DG21" s="167">
        <f>IF('Encodage réponses Es'!BC20="","",'Encodage réponses Es'!BC20)</f>
      </c>
      <c r="DH21" s="167">
        <f>IF('Encodage réponses Es'!BD20="","",'Encodage réponses Es'!BD20)</f>
      </c>
      <c r="DI21" s="167">
        <f>IF('Encodage réponses Es'!BE20="","",'Encodage réponses Es'!BE20)</f>
      </c>
      <c r="DJ21" s="167">
        <f>IF('Encodage réponses Es'!BF20="","",'Encodage réponses Es'!BF20)</f>
      </c>
      <c r="DK21" s="167">
        <f>IF('Encodage réponses Es'!BG20="","",'Encodage réponses Es'!BG20)</f>
      </c>
      <c r="DL21" s="167">
        <f>IF('Encodage réponses Es'!BH20="","",'Encodage réponses Es'!BH20)</f>
      </c>
      <c r="DM21" s="167">
        <f>IF('Encodage réponses Es'!BI20="","",'Encodage réponses Es'!BI20)</f>
      </c>
      <c r="DN21" s="167">
        <f>IF('Encodage réponses Es'!BJ20="","",'Encodage réponses Es'!BJ20)</f>
      </c>
      <c r="DO21" s="167">
        <f>IF('Encodage réponses Es'!BK20="","",'Encodage réponses Es'!BK20)</f>
      </c>
      <c r="DP21" s="167">
        <f>IF('Encodage réponses Es'!BL20="","",'Encodage réponses Es'!BL20)</f>
      </c>
      <c r="DQ21" s="167">
        <f>IF('Encodage réponses Es'!BM20="","",'Encodage réponses Es'!BM20)</f>
      </c>
      <c r="DR21" s="167">
        <f>IF('Encodage réponses Es'!BN20="","",'Encodage réponses Es'!BN20)</f>
      </c>
      <c r="DS21" s="167">
        <f>IF('Encodage réponses Es'!BO20="","",'Encodage réponses Es'!BO20)</f>
      </c>
      <c r="DT21" s="167">
        <f>IF('Encodage réponses Es'!BP20="","",'Encodage réponses Es'!BP20)</f>
      </c>
      <c r="DU21" s="330">
        <f t="shared" si="26"/>
      </c>
      <c r="DV21" s="331"/>
    </row>
    <row r="22" spans="1:126" ht="11.25" customHeight="1">
      <c r="A22" s="181"/>
      <c r="B22"/>
      <c r="C22" s="278">
        <f>IF('Encodage réponses Es'!C21="","",'Encodage réponses Es'!C21)</f>
        <v>19</v>
      </c>
      <c r="D22" s="340"/>
      <c r="E22" s="291">
        <f t="shared" si="1"/>
      </c>
      <c r="F22" s="290">
        <f t="shared" si="2"/>
      </c>
      <c r="G22" s="322"/>
      <c r="H22" s="291">
        <f t="shared" si="3"/>
      </c>
      <c r="I22" s="29"/>
      <c r="J22" s="291">
        <f t="shared" si="4"/>
      </c>
      <c r="K22" s="290">
        <f t="shared" si="5"/>
      </c>
      <c r="L22" s="291">
        <f t="shared" si="6"/>
      </c>
      <c r="M22" s="290">
        <f t="shared" si="7"/>
      </c>
      <c r="N22" s="291">
        <f t="shared" si="8"/>
      </c>
      <c r="O22" s="290">
        <f t="shared" si="9"/>
      </c>
      <c r="P22" s="291">
        <f>IF(DU22="","",Résultats!DU22)</f>
      </c>
      <c r="Q22" s="292">
        <f t="shared" si="10"/>
      </c>
      <c r="R22" s="181"/>
      <c r="S22" s="284"/>
      <c r="T22" s="186">
        <f>IF('Encodage réponses Es'!E21="","",'Encodage réponses Es'!E21)</f>
      </c>
      <c r="U22" s="100">
        <f>IF('Encodage réponses Es'!J21="","",'Encodage réponses Es'!J21)</f>
      </c>
      <c r="V22" s="100">
        <f>IF('Encodage réponses Es'!AP21="","",'Encodage réponses Es'!AP21)</f>
      </c>
      <c r="W22" s="358">
        <f t="shared" si="11"/>
      </c>
      <c r="X22" s="359"/>
      <c r="Y22" s="167">
        <f>IF('Encodage réponses Es'!H21="","",'Encodage réponses Es'!H21)</f>
      </c>
      <c r="Z22" s="167">
        <f>IF('Encodage réponses Es'!I21="","",'Encodage réponses Es'!I21)</f>
      </c>
      <c r="AA22" s="167">
        <f>IF('Encodage réponses Es'!J21="","",'Encodage réponses Es'!J21)</f>
      </c>
      <c r="AB22" s="167">
        <f>IF('Encodage réponses Es'!K21="","",'Encodage réponses Es'!K21)</f>
      </c>
      <c r="AC22" s="167">
        <f>IF('Encodage réponses Es'!L21="","",'Encodage réponses Es'!L21)</f>
      </c>
      <c r="AD22" s="167">
        <f>IF('Encodage réponses Es'!Q21="","",'Encodage réponses Es'!Q21)</f>
      </c>
      <c r="AE22" s="167">
        <f>IF('Encodage réponses Es'!R21="","",'Encodage réponses Es'!R21)</f>
      </c>
      <c r="AF22" s="167">
        <f>IF('Encodage réponses Es'!S21="","",'Encodage réponses Es'!S21)</f>
      </c>
      <c r="AG22" s="167">
        <f>IF('Encodage réponses Es'!T21="","",'Encodage réponses Es'!T21)</f>
      </c>
      <c r="AH22" s="167">
        <f>IF('Encodage réponses Es'!U21="","",'Encodage réponses Es'!U21)</f>
      </c>
      <c r="AI22" s="167">
        <f>IF('Encodage réponses Es'!V21="","",'Encodage réponses Es'!V21)</f>
      </c>
      <c r="AJ22" s="167">
        <f>IF('Encodage réponses Es'!W21="","",'Encodage réponses Es'!W21)</f>
      </c>
      <c r="AK22" s="167">
        <f>IF('Encodage réponses Es'!X21="","",'Encodage réponses Es'!X21)</f>
      </c>
      <c r="AL22" s="167">
        <f>IF('Encodage réponses Es'!Y21="","",'Encodage réponses Es'!Y21)</f>
      </c>
      <c r="AM22" s="167">
        <f>IF('Encodage réponses Es'!Z21="","",'Encodage réponses Es'!Z21)</f>
      </c>
      <c r="AN22" s="167">
        <f>IF('Encodage réponses Es'!AA21="","",'Encodage réponses Es'!AA21)</f>
      </c>
      <c r="AO22" s="358">
        <f t="shared" si="12"/>
      </c>
      <c r="AP22" s="359"/>
      <c r="AQ22" s="55">
        <f t="shared" si="27"/>
      </c>
      <c r="AR22" s="55">
        <f t="shared" si="13"/>
      </c>
      <c r="AS22" s="241">
        <f>IF('Encodage réponses Es'!M21="","",'Encodage réponses Es'!M21)</f>
      </c>
      <c r="AT22" s="167">
        <f>IF('Encodage réponses Es'!N21="","",'Encodage réponses Es'!N21)</f>
      </c>
      <c r="AU22" s="167">
        <f>IF('Encodage réponses Es'!O21="","",'Encodage réponses Es'!O21)</f>
      </c>
      <c r="AV22" s="167">
        <f>IF('Encodage réponses Es'!P21="","",'Encodage réponses Es'!P21)</f>
      </c>
      <c r="AW22" s="358">
        <f t="shared" si="14"/>
      </c>
      <c r="AX22" s="359"/>
      <c r="AY22" s="167">
        <f>IF('Encodage réponses Es'!AB21="","",'Encodage réponses Es'!AB21)</f>
      </c>
      <c r="AZ22" s="167">
        <f>IF('Encodage réponses Es'!AC21="","",'Encodage réponses Es'!AC21)</f>
      </c>
      <c r="BA22" s="167">
        <f>IF('Encodage réponses Es'!AD21="","",'Encodage réponses Es'!AD21)</f>
      </c>
      <c r="BB22" s="167">
        <f>IF('Encodage réponses Es'!AE21="","",'Encodage réponses Es'!AE21)</f>
      </c>
      <c r="BC22" s="167">
        <f>IF('Encodage réponses Es'!AF21="","",'Encodage réponses Es'!AF21)</f>
      </c>
      <c r="BD22" s="167">
        <f>IF('Encodage réponses Es'!AG21="","",'Encodage réponses Es'!AG21)</f>
      </c>
      <c r="BE22" s="167">
        <f>IF('Encodage réponses Es'!AH21="","",'Encodage réponses Es'!AH21)</f>
      </c>
      <c r="BF22" s="167">
        <f>IF('Encodage réponses Es'!AI21="","",'Encodage réponses Es'!AI21)</f>
      </c>
      <c r="BG22" s="55">
        <f t="shared" si="15"/>
      </c>
      <c r="BH22" s="221">
        <f t="shared" si="16"/>
      </c>
      <c r="BI22" s="150">
        <f t="shared" si="17"/>
      </c>
      <c r="BJ22" s="54">
        <f t="shared" si="18"/>
      </c>
      <c r="BK22" s="167">
        <f>IF('Encodage réponses Es'!BQ21="","",'Encodage réponses Es'!BQ21)</f>
      </c>
      <c r="BL22" s="167">
        <f>IF('Encodage réponses Es'!BR21="","",'Encodage réponses Es'!BR21)</f>
      </c>
      <c r="BM22" s="167">
        <f>IF('Encodage réponses Es'!BS21="","",'Encodage réponses Es'!BS21)</f>
      </c>
      <c r="BN22" s="167">
        <f>IF('Encodage réponses Es'!BT21="","",'Encodage réponses Es'!BT21)</f>
      </c>
      <c r="BO22" s="289"/>
      <c r="BP22" s="358">
        <f t="shared" si="19"/>
      </c>
      <c r="BQ22" s="359"/>
      <c r="BR22" s="167">
        <f>IF('Encodage réponses Es'!BV21="","",'Encodage réponses Es'!BV21)</f>
      </c>
      <c r="BS22" s="167">
        <f>IF('Encodage réponses Es'!BW21="","",'Encodage réponses Es'!BW21)</f>
      </c>
      <c r="BT22" s="167">
        <f>IF('Encodage réponses Es'!BX21="","",'Encodage réponses Es'!BX21)</f>
      </c>
      <c r="BU22" s="167">
        <f>IF('Encodage réponses Es'!BY21="","",'Encodage réponses Es'!BY21)</f>
      </c>
      <c r="BV22" s="167">
        <f>IF('Encodage réponses Es'!BZ21="","",'Encodage réponses Es'!BZ21)</f>
      </c>
      <c r="BW22" s="251">
        <f t="shared" si="20"/>
      </c>
      <c r="BX22" s="221">
        <f t="shared" si="21"/>
      </c>
      <c r="BY22" s="167">
        <f>IF('Encodage réponses Es'!CF21="","",'Encodage réponses Es'!CF21)</f>
      </c>
      <c r="BZ22" s="167">
        <f>IF('Encodage réponses Es'!CG21="","",'Encodage réponses Es'!CG21)</f>
      </c>
      <c r="CA22" s="358">
        <f t="shared" si="22"/>
      </c>
      <c r="CB22" s="359"/>
      <c r="CC22" s="167">
        <f>IF('Encodage réponses Es'!CA21="","",'Encodage réponses Es'!CA21)</f>
      </c>
      <c r="CD22" s="167">
        <f>IF('Encodage réponses Es'!CB21="","",'Encodage réponses Es'!CB21)</f>
      </c>
      <c r="CE22" s="167">
        <f>IF('Encodage réponses Es'!CC21="","",'Encodage réponses Es'!CC21)</f>
      </c>
      <c r="CF22" s="167">
        <f>IF('Encodage réponses Es'!CD21="","",'Encodage réponses Es'!CD21)</f>
      </c>
      <c r="CG22" s="167">
        <f>IF('Encodage réponses Es'!CE21="","",'Encodage réponses Es'!CE21)</f>
      </c>
      <c r="CH22" s="330">
        <f t="shared" si="23"/>
      </c>
      <c r="CI22" s="331"/>
      <c r="CJ22" s="167">
        <f>IF('Encodage réponses Es'!AJ21="","",'Encodage réponses Es'!AJ21)</f>
      </c>
      <c r="CK22" s="167">
        <f>IF('Encodage réponses Es'!AK21="","",'Encodage réponses Es'!AK21)</f>
      </c>
      <c r="CL22" s="167">
        <f>IF('Encodage réponses Es'!AL21="","",'Encodage réponses Es'!AL21)</f>
      </c>
      <c r="CM22" s="167">
        <f>IF('Encodage réponses Es'!AM21="","",'Encodage réponses Es'!AM21)</f>
      </c>
      <c r="CN22" s="167">
        <f>IF('Encodage réponses Es'!AN21="","",'Encodage réponses Es'!AN21)</f>
      </c>
      <c r="CO22" s="167">
        <f>IF('Encodage réponses Es'!AO21="","",'Encodage réponses Es'!AO21)</f>
      </c>
      <c r="CP22" s="167">
        <f>IF('Encodage réponses Es'!AP21="","",'Encodage réponses Es'!AP21)</f>
      </c>
      <c r="CQ22" s="167">
        <f>IF('Encodage réponses Es'!AQ21="","",'Encodage réponses Es'!AQ21)</f>
      </c>
      <c r="CR22" s="167">
        <f>IF('Encodage réponses Es'!AR21="","",'Encodage réponses Es'!AR21)</f>
      </c>
      <c r="CS22" s="167">
        <f>IF('Encodage réponses Es'!AS21="","",'Encodage réponses Es'!AS21)</f>
      </c>
      <c r="CT22" s="167">
        <f>IF('Encodage réponses Es'!AT21="","",'Encodage réponses Es'!AT21)</f>
      </c>
      <c r="CU22" s="167">
        <f>IF('Encodage réponses Es'!AU21="","",'Encodage réponses Es'!AU21)</f>
      </c>
      <c r="CV22" s="358">
        <f t="shared" si="24"/>
      </c>
      <c r="CW22" s="359"/>
      <c r="CX22" s="167">
        <f>IF('Encodage réponses Es'!AV21="","",'Encodage réponses Es'!AV21)</f>
      </c>
      <c r="CY22" s="167">
        <f>IF('Encodage réponses Es'!AW21="","",'Encodage réponses Es'!AW21)</f>
      </c>
      <c r="CZ22" s="167">
        <f>IF('Encodage réponses Es'!AX21="","",'Encodage réponses Es'!AX21)</f>
      </c>
      <c r="DA22" s="167">
        <f>IF('Encodage réponses Es'!AY21="","",'Encodage réponses Es'!AY21)</f>
      </c>
      <c r="DB22" s="167">
        <f>IF('Encodage réponses Es'!AZ21="","",'Encodage réponses Es'!AZ21)</f>
      </c>
      <c r="DC22" s="167">
        <f>IF('Encodage réponses Es'!BA21="","",'Encodage réponses Es'!BA21)</f>
      </c>
      <c r="DD22" s="167">
        <f>IF('Encodage réponses Es'!BB21="","",'Encodage réponses Es'!BB21)</f>
      </c>
      <c r="DE22" s="358">
        <f t="shared" si="25"/>
      </c>
      <c r="DF22" s="359"/>
      <c r="DG22" s="167">
        <f>IF('Encodage réponses Es'!BC21="","",'Encodage réponses Es'!BC21)</f>
      </c>
      <c r="DH22" s="167">
        <f>IF('Encodage réponses Es'!BD21="","",'Encodage réponses Es'!BD21)</f>
      </c>
      <c r="DI22" s="167">
        <f>IF('Encodage réponses Es'!BE21="","",'Encodage réponses Es'!BE21)</f>
      </c>
      <c r="DJ22" s="167">
        <f>IF('Encodage réponses Es'!BF21="","",'Encodage réponses Es'!BF21)</f>
      </c>
      <c r="DK22" s="167">
        <f>IF('Encodage réponses Es'!BG21="","",'Encodage réponses Es'!BG21)</f>
      </c>
      <c r="DL22" s="167">
        <f>IF('Encodage réponses Es'!BH21="","",'Encodage réponses Es'!BH21)</f>
      </c>
      <c r="DM22" s="167">
        <f>IF('Encodage réponses Es'!BI21="","",'Encodage réponses Es'!BI21)</f>
      </c>
      <c r="DN22" s="167">
        <f>IF('Encodage réponses Es'!BJ21="","",'Encodage réponses Es'!BJ21)</f>
      </c>
      <c r="DO22" s="167">
        <f>IF('Encodage réponses Es'!BK21="","",'Encodage réponses Es'!BK21)</f>
      </c>
      <c r="DP22" s="167">
        <f>IF('Encodage réponses Es'!BL21="","",'Encodage réponses Es'!BL21)</f>
      </c>
      <c r="DQ22" s="167">
        <f>IF('Encodage réponses Es'!BM21="","",'Encodage réponses Es'!BM21)</f>
      </c>
      <c r="DR22" s="167">
        <f>IF('Encodage réponses Es'!BN21="","",'Encodage réponses Es'!BN21)</f>
      </c>
      <c r="DS22" s="167">
        <f>IF('Encodage réponses Es'!BO21="","",'Encodage réponses Es'!BO21)</f>
      </c>
      <c r="DT22" s="167">
        <f>IF('Encodage réponses Es'!BP21="","",'Encodage réponses Es'!BP21)</f>
      </c>
      <c r="DU22" s="330">
        <f t="shared" si="26"/>
      </c>
      <c r="DV22" s="331"/>
    </row>
    <row r="23" spans="1:126" ht="11.25" customHeight="1">
      <c r="A23" s="181"/>
      <c r="B23"/>
      <c r="C23" s="278">
        <f>IF('Encodage réponses Es'!C22="","",'Encodage réponses Es'!C22)</f>
        <v>20</v>
      </c>
      <c r="D23" s="340"/>
      <c r="E23" s="291">
        <f t="shared" si="1"/>
      </c>
      <c r="F23" s="290">
        <f t="shared" si="2"/>
      </c>
      <c r="G23" s="322"/>
      <c r="H23" s="291">
        <f t="shared" si="3"/>
      </c>
      <c r="I23" s="29"/>
      <c r="J23" s="291">
        <f t="shared" si="4"/>
      </c>
      <c r="K23" s="290">
        <f t="shared" si="5"/>
      </c>
      <c r="L23" s="291">
        <f t="shared" si="6"/>
      </c>
      <c r="M23" s="290">
        <f t="shared" si="7"/>
      </c>
      <c r="N23" s="291">
        <f t="shared" si="8"/>
      </c>
      <c r="O23" s="290">
        <f t="shared" si="9"/>
      </c>
      <c r="P23" s="291">
        <f>IF(DU23="","",Résultats!DU23)</f>
      </c>
      <c r="Q23" s="292">
        <f t="shared" si="10"/>
      </c>
      <c r="R23" s="181"/>
      <c r="S23" s="284"/>
      <c r="T23" s="186">
        <f>IF('Encodage réponses Es'!E22="","",'Encodage réponses Es'!E22)</f>
      </c>
      <c r="U23" s="100">
        <f>IF('Encodage réponses Es'!J22="","",'Encodage réponses Es'!J22)</f>
      </c>
      <c r="V23" s="100">
        <f>IF('Encodage réponses Es'!AP22="","",'Encodage réponses Es'!AP22)</f>
      </c>
      <c r="W23" s="358">
        <f t="shared" si="11"/>
      </c>
      <c r="X23" s="359"/>
      <c r="Y23" s="167">
        <f>IF('Encodage réponses Es'!H22="","",'Encodage réponses Es'!H22)</f>
      </c>
      <c r="Z23" s="167">
        <f>IF('Encodage réponses Es'!I22="","",'Encodage réponses Es'!I22)</f>
      </c>
      <c r="AA23" s="167">
        <f>IF('Encodage réponses Es'!J22="","",'Encodage réponses Es'!J22)</f>
      </c>
      <c r="AB23" s="167">
        <f>IF('Encodage réponses Es'!K22="","",'Encodage réponses Es'!K22)</f>
      </c>
      <c r="AC23" s="167">
        <f>IF('Encodage réponses Es'!L22="","",'Encodage réponses Es'!L22)</f>
      </c>
      <c r="AD23" s="167">
        <f>IF('Encodage réponses Es'!Q22="","",'Encodage réponses Es'!Q22)</f>
      </c>
      <c r="AE23" s="167">
        <f>IF('Encodage réponses Es'!R22="","",'Encodage réponses Es'!R22)</f>
      </c>
      <c r="AF23" s="167">
        <f>IF('Encodage réponses Es'!S22="","",'Encodage réponses Es'!S22)</f>
      </c>
      <c r="AG23" s="167">
        <f>IF('Encodage réponses Es'!T22="","",'Encodage réponses Es'!T22)</f>
      </c>
      <c r="AH23" s="167">
        <f>IF('Encodage réponses Es'!U22="","",'Encodage réponses Es'!U22)</f>
      </c>
      <c r="AI23" s="167">
        <f>IF('Encodage réponses Es'!V22="","",'Encodage réponses Es'!V22)</f>
      </c>
      <c r="AJ23" s="167">
        <f>IF('Encodage réponses Es'!W22="","",'Encodage réponses Es'!W22)</f>
      </c>
      <c r="AK23" s="167">
        <f>IF('Encodage réponses Es'!X22="","",'Encodage réponses Es'!X22)</f>
      </c>
      <c r="AL23" s="167">
        <f>IF('Encodage réponses Es'!Y22="","",'Encodage réponses Es'!Y22)</f>
      </c>
      <c r="AM23" s="167">
        <f>IF('Encodage réponses Es'!Z22="","",'Encodage réponses Es'!Z22)</f>
      </c>
      <c r="AN23" s="167">
        <f>IF('Encodage réponses Es'!AA22="","",'Encodage réponses Es'!AA22)</f>
      </c>
      <c r="AO23" s="358">
        <f t="shared" si="12"/>
      </c>
      <c r="AP23" s="359"/>
      <c r="AQ23" s="55">
        <f t="shared" si="27"/>
      </c>
      <c r="AR23" s="55">
        <f t="shared" si="13"/>
      </c>
      <c r="AS23" s="241">
        <f>IF('Encodage réponses Es'!M22="","",'Encodage réponses Es'!M22)</f>
      </c>
      <c r="AT23" s="167">
        <f>IF('Encodage réponses Es'!N22="","",'Encodage réponses Es'!N22)</f>
      </c>
      <c r="AU23" s="167">
        <f>IF('Encodage réponses Es'!O22="","",'Encodage réponses Es'!O22)</f>
      </c>
      <c r="AV23" s="167">
        <f>IF('Encodage réponses Es'!P22="","",'Encodage réponses Es'!P22)</f>
      </c>
      <c r="AW23" s="358">
        <f t="shared" si="14"/>
      </c>
      <c r="AX23" s="359"/>
      <c r="AY23" s="167">
        <f>IF('Encodage réponses Es'!AB22="","",'Encodage réponses Es'!AB22)</f>
      </c>
      <c r="AZ23" s="167">
        <f>IF('Encodage réponses Es'!AC22="","",'Encodage réponses Es'!AC22)</f>
      </c>
      <c r="BA23" s="167">
        <f>IF('Encodage réponses Es'!AD22="","",'Encodage réponses Es'!AD22)</f>
      </c>
      <c r="BB23" s="167">
        <f>IF('Encodage réponses Es'!AE22="","",'Encodage réponses Es'!AE22)</f>
      </c>
      <c r="BC23" s="167">
        <f>IF('Encodage réponses Es'!AF22="","",'Encodage réponses Es'!AF22)</f>
      </c>
      <c r="BD23" s="167">
        <f>IF('Encodage réponses Es'!AG22="","",'Encodage réponses Es'!AG22)</f>
      </c>
      <c r="BE23" s="167">
        <f>IF('Encodage réponses Es'!AH22="","",'Encodage réponses Es'!AH22)</f>
      </c>
      <c r="BF23" s="167">
        <f>IF('Encodage réponses Es'!AI22="","",'Encodage réponses Es'!AI22)</f>
      </c>
      <c r="BG23" s="55">
        <f t="shared" si="15"/>
      </c>
      <c r="BH23" s="221">
        <f t="shared" si="16"/>
      </c>
      <c r="BI23" s="150">
        <f t="shared" si="17"/>
      </c>
      <c r="BJ23" s="54">
        <f t="shared" si="18"/>
      </c>
      <c r="BK23" s="167">
        <f>IF('Encodage réponses Es'!BQ22="","",'Encodage réponses Es'!BQ22)</f>
      </c>
      <c r="BL23" s="167">
        <f>IF('Encodage réponses Es'!BR22="","",'Encodage réponses Es'!BR22)</f>
      </c>
      <c r="BM23" s="167">
        <f>IF('Encodage réponses Es'!BS22="","",'Encodage réponses Es'!BS22)</f>
      </c>
      <c r="BN23" s="167">
        <f>IF('Encodage réponses Es'!BT22="","",'Encodage réponses Es'!BT22)</f>
      </c>
      <c r="BO23" s="289"/>
      <c r="BP23" s="358">
        <f t="shared" si="19"/>
      </c>
      <c r="BQ23" s="359"/>
      <c r="BR23" s="167">
        <f>IF('Encodage réponses Es'!BV22="","",'Encodage réponses Es'!BV22)</f>
      </c>
      <c r="BS23" s="167">
        <f>IF('Encodage réponses Es'!BW22="","",'Encodage réponses Es'!BW22)</f>
      </c>
      <c r="BT23" s="167">
        <f>IF('Encodage réponses Es'!BX22="","",'Encodage réponses Es'!BX22)</f>
      </c>
      <c r="BU23" s="167">
        <f>IF('Encodage réponses Es'!BY22="","",'Encodage réponses Es'!BY22)</f>
      </c>
      <c r="BV23" s="167">
        <f>IF('Encodage réponses Es'!BZ22="","",'Encodage réponses Es'!BZ22)</f>
      </c>
      <c r="BW23" s="251">
        <f t="shared" si="20"/>
      </c>
      <c r="BX23" s="221">
        <f t="shared" si="21"/>
      </c>
      <c r="BY23" s="167">
        <f>IF('Encodage réponses Es'!CF22="","",'Encodage réponses Es'!CF22)</f>
      </c>
      <c r="BZ23" s="167">
        <f>IF('Encodage réponses Es'!CG22="","",'Encodage réponses Es'!CG22)</f>
      </c>
      <c r="CA23" s="358">
        <f t="shared" si="22"/>
      </c>
      <c r="CB23" s="359"/>
      <c r="CC23" s="167">
        <f>IF('Encodage réponses Es'!CA22="","",'Encodage réponses Es'!CA22)</f>
      </c>
      <c r="CD23" s="167">
        <f>IF('Encodage réponses Es'!CB22="","",'Encodage réponses Es'!CB22)</f>
      </c>
      <c r="CE23" s="167">
        <f>IF('Encodage réponses Es'!CC22="","",'Encodage réponses Es'!CC22)</f>
      </c>
      <c r="CF23" s="167">
        <f>IF('Encodage réponses Es'!CD22="","",'Encodage réponses Es'!CD22)</f>
      </c>
      <c r="CG23" s="167">
        <f>IF('Encodage réponses Es'!CE22="","",'Encodage réponses Es'!CE22)</f>
      </c>
      <c r="CH23" s="330">
        <f t="shared" si="23"/>
      </c>
      <c r="CI23" s="331"/>
      <c r="CJ23" s="167">
        <f>IF('Encodage réponses Es'!AJ22="","",'Encodage réponses Es'!AJ22)</f>
      </c>
      <c r="CK23" s="167">
        <f>IF('Encodage réponses Es'!AK22="","",'Encodage réponses Es'!AK22)</f>
      </c>
      <c r="CL23" s="167">
        <f>IF('Encodage réponses Es'!AL22="","",'Encodage réponses Es'!AL22)</f>
      </c>
      <c r="CM23" s="167">
        <f>IF('Encodage réponses Es'!AM22="","",'Encodage réponses Es'!AM22)</f>
      </c>
      <c r="CN23" s="167">
        <f>IF('Encodage réponses Es'!AN22="","",'Encodage réponses Es'!AN22)</f>
      </c>
      <c r="CO23" s="167">
        <f>IF('Encodage réponses Es'!AO22="","",'Encodage réponses Es'!AO22)</f>
      </c>
      <c r="CP23" s="167">
        <f>IF('Encodage réponses Es'!AP22="","",'Encodage réponses Es'!AP22)</f>
      </c>
      <c r="CQ23" s="167">
        <f>IF('Encodage réponses Es'!AQ22="","",'Encodage réponses Es'!AQ22)</f>
      </c>
      <c r="CR23" s="167">
        <f>IF('Encodage réponses Es'!AR22="","",'Encodage réponses Es'!AR22)</f>
      </c>
      <c r="CS23" s="167">
        <f>IF('Encodage réponses Es'!AS22="","",'Encodage réponses Es'!AS22)</f>
      </c>
      <c r="CT23" s="167">
        <f>IF('Encodage réponses Es'!AT22="","",'Encodage réponses Es'!AT22)</f>
      </c>
      <c r="CU23" s="167">
        <f>IF('Encodage réponses Es'!AU22="","",'Encodage réponses Es'!AU22)</f>
      </c>
      <c r="CV23" s="358">
        <f t="shared" si="24"/>
      </c>
      <c r="CW23" s="359"/>
      <c r="CX23" s="167">
        <f>IF('Encodage réponses Es'!AV22="","",'Encodage réponses Es'!AV22)</f>
      </c>
      <c r="CY23" s="167">
        <f>IF('Encodage réponses Es'!AW22="","",'Encodage réponses Es'!AW22)</f>
      </c>
      <c r="CZ23" s="167">
        <f>IF('Encodage réponses Es'!AX22="","",'Encodage réponses Es'!AX22)</f>
      </c>
      <c r="DA23" s="167">
        <f>IF('Encodage réponses Es'!AY22="","",'Encodage réponses Es'!AY22)</f>
      </c>
      <c r="DB23" s="167">
        <f>IF('Encodage réponses Es'!AZ22="","",'Encodage réponses Es'!AZ22)</f>
      </c>
      <c r="DC23" s="167">
        <f>IF('Encodage réponses Es'!BA22="","",'Encodage réponses Es'!BA22)</f>
      </c>
      <c r="DD23" s="167">
        <f>IF('Encodage réponses Es'!BB22="","",'Encodage réponses Es'!BB22)</f>
      </c>
      <c r="DE23" s="358">
        <f t="shared" si="25"/>
      </c>
      <c r="DF23" s="359"/>
      <c r="DG23" s="167">
        <f>IF('Encodage réponses Es'!BC22="","",'Encodage réponses Es'!BC22)</f>
      </c>
      <c r="DH23" s="167">
        <f>IF('Encodage réponses Es'!BD22="","",'Encodage réponses Es'!BD22)</f>
      </c>
      <c r="DI23" s="167">
        <f>IF('Encodage réponses Es'!BE22="","",'Encodage réponses Es'!BE22)</f>
      </c>
      <c r="DJ23" s="167">
        <f>IF('Encodage réponses Es'!BF22="","",'Encodage réponses Es'!BF22)</f>
      </c>
      <c r="DK23" s="167">
        <f>IF('Encodage réponses Es'!BG22="","",'Encodage réponses Es'!BG22)</f>
      </c>
      <c r="DL23" s="167">
        <f>IF('Encodage réponses Es'!BH22="","",'Encodage réponses Es'!BH22)</f>
      </c>
      <c r="DM23" s="167">
        <f>IF('Encodage réponses Es'!BI22="","",'Encodage réponses Es'!BI22)</f>
      </c>
      <c r="DN23" s="167">
        <f>IF('Encodage réponses Es'!BJ22="","",'Encodage réponses Es'!BJ22)</f>
      </c>
      <c r="DO23" s="167">
        <f>IF('Encodage réponses Es'!BK22="","",'Encodage réponses Es'!BK22)</f>
      </c>
      <c r="DP23" s="167">
        <f>IF('Encodage réponses Es'!BL22="","",'Encodage réponses Es'!BL22)</f>
      </c>
      <c r="DQ23" s="167">
        <f>IF('Encodage réponses Es'!BM22="","",'Encodage réponses Es'!BM22)</f>
      </c>
      <c r="DR23" s="167">
        <f>IF('Encodage réponses Es'!BN22="","",'Encodage réponses Es'!BN22)</f>
      </c>
      <c r="DS23" s="167">
        <f>IF('Encodage réponses Es'!BO22="","",'Encodage réponses Es'!BO22)</f>
      </c>
      <c r="DT23" s="167">
        <f>IF('Encodage réponses Es'!BP22="","",'Encodage réponses Es'!BP22)</f>
      </c>
      <c r="DU23" s="330">
        <f t="shared" si="26"/>
      </c>
      <c r="DV23" s="331"/>
    </row>
    <row r="24" spans="1:126" ht="11.25" customHeight="1">
      <c r="A24" s="181"/>
      <c r="B24"/>
      <c r="C24" s="278">
        <f>IF('Encodage réponses Es'!C23="","",'Encodage réponses Es'!C23)</f>
        <v>21</v>
      </c>
      <c r="D24" s="340"/>
      <c r="E24" s="291">
        <f t="shared" si="1"/>
      </c>
      <c r="F24" s="290">
        <f t="shared" si="2"/>
      </c>
      <c r="G24" s="322"/>
      <c r="H24" s="291">
        <f t="shared" si="3"/>
      </c>
      <c r="I24" s="29"/>
      <c r="J24" s="291">
        <f t="shared" si="4"/>
      </c>
      <c r="K24" s="290">
        <f t="shared" si="5"/>
      </c>
      <c r="L24" s="291">
        <f t="shared" si="6"/>
      </c>
      <c r="M24" s="290">
        <f t="shared" si="7"/>
      </c>
      <c r="N24" s="291">
        <f t="shared" si="8"/>
      </c>
      <c r="O24" s="290">
        <f t="shared" si="9"/>
      </c>
      <c r="P24" s="291">
        <f>IF(DU24="","",Résultats!DU24)</f>
      </c>
      <c r="Q24" s="292">
        <f t="shared" si="10"/>
      </c>
      <c r="R24" s="181"/>
      <c r="S24" s="284"/>
      <c r="T24" s="186">
        <f>IF('Encodage réponses Es'!E23="","",'Encodage réponses Es'!E23)</f>
      </c>
      <c r="U24" s="100">
        <f>IF('Encodage réponses Es'!J23="","",'Encodage réponses Es'!J23)</f>
      </c>
      <c r="V24" s="100">
        <f>IF('Encodage réponses Es'!AP23="","",'Encodage réponses Es'!AP23)</f>
      </c>
      <c r="W24" s="358">
        <f t="shared" si="11"/>
      </c>
      <c r="X24" s="359"/>
      <c r="Y24" s="167">
        <f>IF('Encodage réponses Es'!H23="","",'Encodage réponses Es'!H23)</f>
      </c>
      <c r="Z24" s="167">
        <f>IF('Encodage réponses Es'!I23="","",'Encodage réponses Es'!I23)</f>
      </c>
      <c r="AA24" s="167">
        <f>IF('Encodage réponses Es'!J23="","",'Encodage réponses Es'!J23)</f>
      </c>
      <c r="AB24" s="167">
        <f>IF('Encodage réponses Es'!K23="","",'Encodage réponses Es'!K23)</f>
      </c>
      <c r="AC24" s="167">
        <f>IF('Encodage réponses Es'!L23="","",'Encodage réponses Es'!L23)</f>
      </c>
      <c r="AD24" s="167">
        <f>IF('Encodage réponses Es'!Q23="","",'Encodage réponses Es'!Q23)</f>
      </c>
      <c r="AE24" s="167">
        <f>IF('Encodage réponses Es'!R23="","",'Encodage réponses Es'!R23)</f>
      </c>
      <c r="AF24" s="167">
        <f>IF('Encodage réponses Es'!S23="","",'Encodage réponses Es'!S23)</f>
      </c>
      <c r="AG24" s="167">
        <f>IF('Encodage réponses Es'!T23="","",'Encodage réponses Es'!T23)</f>
      </c>
      <c r="AH24" s="167">
        <f>IF('Encodage réponses Es'!U23="","",'Encodage réponses Es'!U23)</f>
      </c>
      <c r="AI24" s="167">
        <f>IF('Encodage réponses Es'!V23="","",'Encodage réponses Es'!V23)</f>
      </c>
      <c r="AJ24" s="167">
        <f>IF('Encodage réponses Es'!W23="","",'Encodage réponses Es'!W23)</f>
      </c>
      <c r="AK24" s="167">
        <f>IF('Encodage réponses Es'!X23="","",'Encodage réponses Es'!X23)</f>
      </c>
      <c r="AL24" s="167">
        <f>IF('Encodage réponses Es'!Y23="","",'Encodage réponses Es'!Y23)</f>
      </c>
      <c r="AM24" s="167">
        <f>IF('Encodage réponses Es'!Z23="","",'Encodage réponses Es'!Z23)</f>
      </c>
      <c r="AN24" s="167">
        <f>IF('Encodage réponses Es'!AA23="","",'Encodage réponses Es'!AA23)</f>
      </c>
      <c r="AO24" s="358">
        <f t="shared" si="12"/>
      </c>
      <c r="AP24" s="359"/>
      <c r="AQ24" s="55">
        <f t="shared" si="27"/>
      </c>
      <c r="AR24" s="55">
        <f t="shared" si="13"/>
      </c>
      <c r="AS24" s="241">
        <f>IF('Encodage réponses Es'!M23="","",'Encodage réponses Es'!M23)</f>
      </c>
      <c r="AT24" s="167">
        <f>IF('Encodage réponses Es'!N23="","",'Encodage réponses Es'!N23)</f>
      </c>
      <c r="AU24" s="167">
        <f>IF('Encodage réponses Es'!O23="","",'Encodage réponses Es'!O23)</f>
      </c>
      <c r="AV24" s="167">
        <f>IF('Encodage réponses Es'!P23="","",'Encodage réponses Es'!P23)</f>
      </c>
      <c r="AW24" s="358">
        <f t="shared" si="14"/>
      </c>
      <c r="AX24" s="359"/>
      <c r="AY24" s="167">
        <f>IF('Encodage réponses Es'!AB23="","",'Encodage réponses Es'!AB23)</f>
      </c>
      <c r="AZ24" s="167">
        <f>IF('Encodage réponses Es'!AC23="","",'Encodage réponses Es'!AC23)</f>
      </c>
      <c r="BA24" s="167">
        <f>IF('Encodage réponses Es'!AD23="","",'Encodage réponses Es'!AD23)</f>
      </c>
      <c r="BB24" s="167">
        <f>IF('Encodage réponses Es'!AE23="","",'Encodage réponses Es'!AE23)</f>
      </c>
      <c r="BC24" s="167">
        <f>IF('Encodage réponses Es'!AF23="","",'Encodage réponses Es'!AF23)</f>
      </c>
      <c r="BD24" s="167">
        <f>IF('Encodage réponses Es'!AG23="","",'Encodage réponses Es'!AG23)</f>
      </c>
      <c r="BE24" s="167">
        <f>IF('Encodage réponses Es'!AH23="","",'Encodage réponses Es'!AH23)</f>
      </c>
      <c r="BF24" s="167">
        <f>IF('Encodage réponses Es'!AI23="","",'Encodage réponses Es'!AI23)</f>
      </c>
      <c r="BG24" s="55">
        <f t="shared" si="15"/>
      </c>
      <c r="BH24" s="221">
        <f t="shared" si="16"/>
      </c>
      <c r="BI24" s="150">
        <f t="shared" si="17"/>
      </c>
      <c r="BJ24" s="54">
        <f t="shared" si="18"/>
      </c>
      <c r="BK24" s="167">
        <f>IF('Encodage réponses Es'!BQ23="","",'Encodage réponses Es'!BQ23)</f>
      </c>
      <c r="BL24" s="167">
        <f>IF('Encodage réponses Es'!BR23="","",'Encodage réponses Es'!BR23)</f>
      </c>
      <c r="BM24" s="167">
        <f>IF('Encodage réponses Es'!BS23="","",'Encodage réponses Es'!BS23)</f>
      </c>
      <c r="BN24" s="167">
        <f>IF('Encodage réponses Es'!BT23="","",'Encodage réponses Es'!BT23)</f>
      </c>
      <c r="BO24" s="289"/>
      <c r="BP24" s="358">
        <f t="shared" si="19"/>
      </c>
      <c r="BQ24" s="359"/>
      <c r="BR24" s="167">
        <f>IF('Encodage réponses Es'!BV23="","",'Encodage réponses Es'!BV23)</f>
      </c>
      <c r="BS24" s="167">
        <f>IF('Encodage réponses Es'!BW23="","",'Encodage réponses Es'!BW23)</f>
      </c>
      <c r="BT24" s="167">
        <f>IF('Encodage réponses Es'!BX23="","",'Encodage réponses Es'!BX23)</f>
      </c>
      <c r="BU24" s="167">
        <f>IF('Encodage réponses Es'!BY23="","",'Encodage réponses Es'!BY23)</f>
      </c>
      <c r="BV24" s="167">
        <f>IF('Encodage réponses Es'!BZ23="","",'Encodage réponses Es'!BZ23)</f>
      </c>
      <c r="BW24" s="251">
        <f t="shared" si="20"/>
      </c>
      <c r="BX24" s="221">
        <f t="shared" si="21"/>
      </c>
      <c r="BY24" s="167">
        <f>IF('Encodage réponses Es'!CF23="","",'Encodage réponses Es'!CF23)</f>
      </c>
      <c r="BZ24" s="167">
        <f>IF('Encodage réponses Es'!CG23="","",'Encodage réponses Es'!CG23)</f>
      </c>
      <c r="CA24" s="358">
        <f t="shared" si="22"/>
      </c>
      <c r="CB24" s="359"/>
      <c r="CC24" s="167">
        <f>IF('Encodage réponses Es'!CA23="","",'Encodage réponses Es'!CA23)</f>
      </c>
      <c r="CD24" s="167">
        <f>IF('Encodage réponses Es'!CB23="","",'Encodage réponses Es'!CB23)</f>
      </c>
      <c r="CE24" s="167">
        <f>IF('Encodage réponses Es'!CC23="","",'Encodage réponses Es'!CC23)</f>
      </c>
      <c r="CF24" s="167">
        <f>IF('Encodage réponses Es'!CD23="","",'Encodage réponses Es'!CD23)</f>
      </c>
      <c r="CG24" s="167">
        <f>IF('Encodage réponses Es'!CE23="","",'Encodage réponses Es'!CE23)</f>
      </c>
      <c r="CH24" s="330">
        <f t="shared" si="23"/>
      </c>
      <c r="CI24" s="331"/>
      <c r="CJ24" s="167">
        <f>IF('Encodage réponses Es'!AJ23="","",'Encodage réponses Es'!AJ23)</f>
      </c>
      <c r="CK24" s="167">
        <f>IF('Encodage réponses Es'!AK23="","",'Encodage réponses Es'!AK23)</f>
      </c>
      <c r="CL24" s="167">
        <f>IF('Encodage réponses Es'!AL23="","",'Encodage réponses Es'!AL23)</f>
      </c>
      <c r="CM24" s="167">
        <f>IF('Encodage réponses Es'!AM23="","",'Encodage réponses Es'!AM23)</f>
      </c>
      <c r="CN24" s="167">
        <f>IF('Encodage réponses Es'!AN23="","",'Encodage réponses Es'!AN23)</f>
      </c>
      <c r="CO24" s="167">
        <f>IF('Encodage réponses Es'!AO23="","",'Encodage réponses Es'!AO23)</f>
      </c>
      <c r="CP24" s="167">
        <f>IF('Encodage réponses Es'!AP23="","",'Encodage réponses Es'!AP23)</f>
      </c>
      <c r="CQ24" s="167">
        <f>IF('Encodage réponses Es'!AQ23="","",'Encodage réponses Es'!AQ23)</f>
      </c>
      <c r="CR24" s="167">
        <f>IF('Encodage réponses Es'!AR23="","",'Encodage réponses Es'!AR23)</f>
      </c>
      <c r="CS24" s="167">
        <f>IF('Encodage réponses Es'!AS23="","",'Encodage réponses Es'!AS23)</f>
      </c>
      <c r="CT24" s="167">
        <f>IF('Encodage réponses Es'!AT23="","",'Encodage réponses Es'!AT23)</f>
      </c>
      <c r="CU24" s="167">
        <f>IF('Encodage réponses Es'!AU23="","",'Encodage réponses Es'!AU23)</f>
      </c>
      <c r="CV24" s="358">
        <f t="shared" si="24"/>
      </c>
      <c r="CW24" s="359"/>
      <c r="CX24" s="167">
        <f>IF('Encodage réponses Es'!AV23="","",'Encodage réponses Es'!AV23)</f>
      </c>
      <c r="CY24" s="167">
        <f>IF('Encodage réponses Es'!AW23="","",'Encodage réponses Es'!AW23)</f>
      </c>
      <c r="CZ24" s="167">
        <f>IF('Encodage réponses Es'!AX23="","",'Encodage réponses Es'!AX23)</f>
      </c>
      <c r="DA24" s="167">
        <f>IF('Encodage réponses Es'!AY23="","",'Encodage réponses Es'!AY23)</f>
      </c>
      <c r="DB24" s="167">
        <f>IF('Encodage réponses Es'!AZ23="","",'Encodage réponses Es'!AZ23)</f>
      </c>
      <c r="DC24" s="167">
        <f>IF('Encodage réponses Es'!BA23="","",'Encodage réponses Es'!BA23)</f>
      </c>
      <c r="DD24" s="167">
        <f>IF('Encodage réponses Es'!BB23="","",'Encodage réponses Es'!BB23)</f>
      </c>
      <c r="DE24" s="358">
        <f t="shared" si="25"/>
      </c>
      <c r="DF24" s="359"/>
      <c r="DG24" s="167">
        <f>IF('Encodage réponses Es'!BC23="","",'Encodage réponses Es'!BC23)</f>
      </c>
      <c r="DH24" s="167">
        <f>IF('Encodage réponses Es'!BD23="","",'Encodage réponses Es'!BD23)</f>
      </c>
      <c r="DI24" s="167">
        <f>IF('Encodage réponses Es'!BE23="","",'Encodage réponses Es'!BE23)</f>
      </c>
      <c r="DJ24" s="167">
        <f>IF('Encodage réponses Es'!BF23="","",'Encodage réponses Es'!BF23)</f>
      </c>
      <c r="DK24" s="167">
        <f>IF('Encodage réponses Es'!BG23="","",'Encodage réponses Es'!BG23)</f>
      </c>
      <c r="DL24" s="167">
        <f>IF('Encodage réponses Es'!BH23="","",'Encodage réponses Es'!BH23)</f>
      </c>
      <c r="DM24" s="167">
        <f>IF('Encodage réponses Es'!BI23="","",'Encodage réponses Es'!BI23)</f>
      </c>
      <c r="DN24" s="167">
        <f>IF('Encodage réponses Es'!BJ23="","",'Encodage réponses Es'!BJ23)</f>
      </c>
      <c r="DO24" s="167">
        <f>IF('Encodage réponses Es'!BK23="","",'Encodage réponses Es'!BK23)</f>
      </c>
      <c r="DP24" s="167">
        <f>IF('Encodage réponses Es'!BL23="","",'Encodage réponses Es'!BL23)</f>
      </c>
      <c r="DQ24" s="167">
        <f>IF('Encodage réponses Es'!BM23="","",'Encodage réponses Es'!BM23)</f>
      </c>
      <c r="DR24" s="167">
        <f>IF('Encodage réponses Es'!BN23="","",'Encodage réponses Es'!BN23)</f>
      </c>
      <c r="DS24" s="167">
        <f>IF('Encodage réponses Es'!BO23="","",'Encodage réponses Es'!BO23)</f>
      </c>
      <c r="DT24" s="167">
        <f>IF('Encodage réponses Es'!BP23="","",'Encodage réponses Es'!BP23)</f>
      </c>
      <c r="DU24" s="330">
        <f t="shared" si="26"/>
      </c>
      <c r="DV24" s="331"/>
    </row>
    <row r="25" spans="1:126" ht="11.25" customHeight="1">
      <c r="A25" s="181"/>
      <c r="B25"/>
      <c r="C25" s="278">
        <f>IF('Encodage réponses Es'!C24="","",'Encodage réponses Es'!C24)</f>
        <v>22</v>
      </c>
      <c r="D25" s="340"/>
      <c r="E25" s="291">
        <f t="shared" si="1"/>
      </c>
      <c r="F25" s="290">
        <f t="shared" si="2"/>
      </c>
      <c r="G25" s="322"/>
      <c r="H25" s="291">
        <f t="shared" si="3"/>
      </c>
      <c r="I25" s="29"/>
      <c r="J25" s="291">
        <f t="shared" si="4"/>
      </c>
      <c r="K25" s="290">
        <f t="shared" si="5"/>
      </c>
      <c r="L25" s="291">
        <f t="shared" si="6"/>
      </c>
      <c r="M25" s="290">
        <f t="shared" si="7"/>
      </c>
      <c r="N25" s="291">
        <f t="shared" si="8"/>
      </c>
      <c r="O25" s="290">
        <f t="shared" si="9"/>
      </c>
      <c r="P25" s="291">
        <f>IF(DU25="","",Résultats!DU25)</f>
      </c>
      <c r="Q25" s="292">
        <f t="shared" si="10"/>
      </c>
      <c r="R25" s="181"/>
      <c r="S25" s="284"/>
      <c r="T25" s="186">
        <f>IF('Encodage réponses Es'!E24="","",'Encodage réponses Es'!E24)</f>
      </c>
      <c r="U25" s="100">
        <f>IF('Encodage réponses Es'!J24="","",'Encodage réponses Es'!J24)</f>
      </c>
      <c r="V25" s="100">
        <f>IF('Encodage réponses Es'!AP24="","",'Encodage réponses Es'!AP24)</f>
      </c>
      <c r="W25" s="358">
        <f t="shared" si="11"/>
      </c>
      <c r="X25" s="359"/>
      <c r="Y25" s="167">
        <f>IF('Encodage réponses Es'!H24="","",'Encodage réponses Es'!H24)</f>
      </c>
      <c r="Z25" s="167">
        <f>IF('Encodage réponses Es'!I24="","",'Encodage réponses Es'!I24)</f>
      </c>
      <c r="AA25" s="167">
        <f>IF('Encodage réponses Es'!J24="","",'Encodage réponses Es'!J24)</f>
      </c>
      <c r="AB25" s="167">
        <f>IF('Encodage réponses Es'!K24="","",'Encodage réponses Es'!K24)</f>
      </c>
      <c r="AC25" s="167">
        <f>IF('Encodage réponses Es'!L24="","",'Encodage réponses Es'!L24)</f>
      </c>
      <c r="AD25" s="167">
        <f>IF('Encodage réponses Es'!Q24="","",'Encodage réponses Es'!Q24)</f>
      </c>
      <c r="AE25" s="167">
        <f>IF('Encodage réponses Es'!R24="","",'Encodage réponses Es'!R24)</f>
      </c>
      <c r="AF25" s="167">
        <f>IF('Encodage réponses Es'!S24="","",'Encodage réponses Es'!S24)</f>
      </c>
      <c r="AG25" s="167">
        <f>IF('Encodage réponses Es'!T24="","",'Encodage réponses Es'!T24)</f>
      </c>
      <c r="AH25" s="167">
        <f>IF('Encodage réponses Es'!U24="","",'Encodage réponses Es'!U24)</f>
      </c>
      <c r="AI25" s="167">
        <f>IF('Encodage réponses Es'!V24="","",'Encodage réponses Es'!V24)</f>
      </c>
      <c r="AJ25" s="167">
        <f>IF('Encodage réponses Es'!W24="","",'Encodage réponses Es'!W24)</f>
      </c>
      <c r="AK25" s="167">
        <f>IF('Encodage réponses Es'!X24="","",'Encodage réponses Es'!X24)</f>
      </c>
      <c r="AL25" s="167">
        <f>IF('Encodage réponses Es'!Y24="","",'Encodage réponses Es'!Y24)</f>
      </c>
      <c r="AM25" s="167">
        <f>IF('Encodage réponses Es'!Z24="","",'Encodage réponses Es'!Z24)</f>
      </c>
      <c r="AN25" s="167">
        <f>IF('Encodage réponses Es'!AA24="","",'Encodage réponses Es'!AA24)</f>
      </c>
      <c r="AO25" s="358">
        <f t="shared" si="12"/>
      </c>
      <c r="AP25" s="359"/>
      <c r="AQ25" s="55">
        <f t="shared" si="27"/>
      </c>
      <c r="AR25" s="55">
        <f t="shared" si="13"/>
      </c>
      <c r="AS25" s="241">
        <f>IF('Encodage réponses Es'!M24="","",'Encodage réponses Es'!M24)</f>
      </c>
      <c r="AT25" s="167">
        <f>IF('Encodage réponses Es'!N24="","",'Encodage réponses Es'!N24)</f>
      </c>
      <c r="AU25" s="167">
        <f>IF('Encodage réponses Es'!O24="","",'Encodage réponses Es'!O24)</f>
      </c>
      <c r="AV25" s="167">
        <f>IF('Encodage réponses Es'!P24="","",'Encodage réponses Es'!P24)</f>
      </c>
      <c r="AW25" s="358">
        <f t="shared" si="14"/>
      </c>
      <c r="AX25" s="359"/>
      <c r="AY25" s="167">
        <f>IF('Encodage réponses Es'!AB24="","",'Encodage réponses Es'!AB24)</f>
      </c>
      <c r="AZ25" s="167">
        <f>IF('Encodage réponses Es'!AC24="","",'Encodage réponses Es'!AC24)</f>
      </c>
      <c r="BA25" s="167">
        <f>IF('Encodage réponses Es'!AD24="","",'Encodage réponses Es'!AD24)</f>
      </c>
      <c r="BB25" s="167">
        <f>IF('Encodage réponses Es'!AE24="","",'Encodage réponses Es'!AE24)</f>
      </c>
      <c r="BC25" s="167">
        <f>IF('Encodage réponses Es'!AF24="","",'Encodage réponses Es'!AF24)</f>
      </c>
      <c r="BD25" s="167">
        <f>IF('Encodage réponses Es'!AG24="","",'Encodage réponses Es'!AG24)</f>
      </c>
      <c r="BE25" s="167">
        <f>IF('Encodage réponses Es'!AH24="","",'Encodage réponses Es'!AH24)</f>
      </c>
      <c r="BF25" s="167">
        <f>IF('Encodage réponses Es'!AI24="","",'Encodage réponses Es'!AI24)</f>
      </c>
      <c r="BG25" s="55">
        <f t="shared" si="15"/>
      </c>
      <c r="BH25" s="221">
        <f t="shared" si="16"/>
      </c>
      <c r="BI25" s="150">
        <f t="shared" si="17"/>
      </c>
      <c r="BJ25" s="54">
        <f t="shared" si="18"/>
      </c>
      <c r="BK25" s="167">
        <f>IF('Encodage réponses Es'!BQ24="","",'Encodage réponses Es'!BQ24)</f>
      </c>
      <c r="BL25" s="167">
        <f>IF('Encodage réponses Es'!BR24="","",'Encodage réponses Es'!BR24)</f>
      </c>
      <c r="BM25" s="167">
        <f>IF('Encodage réponses Es'!BS24="","",'Encodage réponses Es'!BS24)</f>
      </c>
      <c r="BN25" s="167">
        <f>IF('Encodage réponses Es'!BT24="","",'Encodage réponses Es'!BT24)</f>
      </c>
      <c r="BO25" s="289"/>
      <c r="BP25" s="358">
        <f t="shared" si="19"/>
      </c>
      <c r="BQ25" s="359"/>
      <c r="BR25" s="167">
        <f>IF('Encodage réponses Es'!BV24="","",'Encodage réponses Es'!BV24)</f>
      </c>
      <c r="BS25" s="167">
        <f>IF('Encodage réponses Es'!BW24="","",'Encodage réponses Es'!BW24)</f>
      </c>
      <c r="BT25" s="167">
        <f>IF('Encodage réponses Es'!BX24="","",'Encodage réponses Es'!BX24)</f>
      </c>
      <c r="BU25" s="167">
        <f>IF('Encodage réponses Es'!BY24="","",'Encodage réponses Es'!BY24)</f>
      </c>
      <c r="BV25" s="167">
        <f>IF('Encodage réponses Es'!BZ24="","",'Encodage réponses Es'!BZ24)</f>
      </c>
      <c r="BW25" s="251">
        <f t="shared" si="20"/>
      </c>
      <c r="BX25" s="221">
        <f t="shared" si="21"/>
      </c>
      <c r="BY25" s="167">
        <f>IF('Encodage réponses Es'!CF24="","",'Encodage réponses Es'!CF24)</f>
      </c>
      <c r="BZ25" s="167">
        <f>IF('Encodage réponses Es'!CG24="","",'Encodage réponses Es'!CG24)</f>
      </c>
      <c r="CA25" s="358">
        <f t="shared" si="22"/>
      </c>
      <c r="CB25" s="359"/>
      <c r="CC25" s="167">
        <f>IF('Encodage réponses Es'!CA24="","",'Encodage réponses Es'!CA24)</f>
      </c>
      <c r="CD25" s="167">
        <f>IF('Encodage réponses Es'!CB24="","",'Encodage réponses Es'!CB24)</f>
      </c>
      <c r="CE25" s="167">
        <f>IF('Encodage réponses Es'!CC24="","",'Encodage réponses Es'!CC24)</f>
      </c>
      <c r="CF25" s="167">
        <f>IF('Encodage réponses Es'!CD24="","",'Encodage réponses Es'!CD24)</f>
      </c>
      <c r="CG25" s="167">
        <f>IF('Encodage réponses Es'!CE24="","",'Encodage réponses Es'!CE24)</f>
      </c>
      <c r="CH25" s="330">
        <f t="shared" si="23"/>
      </c>
      <c r="CI25" s="331"/>
      <c r="CJ25" s="167">
        <f>IF('Encodage réponses Es'!AJ24="","",'Encodage réponses Es'!AJ24)</f>
      </c>
      <c r="CK25" s="167">
        <f>IF('Encodage réponses Es'!AK24="","",'Encodage réponses Es'!AK24)</f>
      </c>
      <c r="CL25" s="167">
        <f>IF('Encodage réponses Es'!AL24="","",'Encodage réponses Es'!AL24)</f>
      </c>
      <c r="CM25" s="167">
        <f>IF('Encodage réponses Es'!AM24="","",'Encodage réponses Es'!AM24)</f>
      </c>
      <c r="CN25" s="167">
        <f>IF('Encodage réponses Es'!AN24="","",'Encodage réponses Es'!AN24)</f>
      </c>
      <c r="CO25" s="167">
        <f>IF('Encodage réponses Es'!AO24="","",'Encodage réponses Es'!AO24)</f>
      </c>
      <c r="CP25" s="167">
        <f>IF('Encodage réponses Es'!AP24="","",'Encodage réponses Es'!AP24)</f>
      </c>
      <c r="CQ25" s="167">
        <f>IF('Encodage réponses Es'!AQ24="","",'Encodage réponses Es'!AQ24)</f>
      </c>
      <c r="CR25" s="167">
        <f>IF('Encodage réponses Es'!AR24="","",'Encodage réponses Es'!AR24)</f>
      </c>
      <c r="CS25" s="167">
        <f>IF('Encodage réponses Es'!AS24="","",'Encodage réponses Es'!AS24)</f>
      </c>
      <c r="CT25" s="167">
        <f>IF('Encodage réponses Es'!AT24="","",'Encodage réponses Es'!AT24)</f>
      </c>
      <c r="CU25" s="167">
        <f>IF('Encodage réponses Es'!AU24="","",'Encodage réponses Es'!AU24)</f>
      </c>
      <c r="CV25" s="358">
        <f t="shared" si="24"/>
      </c>
      <c r="CW25" s="359"/>
      <c r="CX25" s="167">
        <f>IF('Encodage réponses Es'!AV24="","",'Encodage réponses Es'!AV24)</f>
      </c>
      <c r="CY25" s="167">
        <f>IF('Encodage réponses Es'!AW24="","",'Encodage réponses Es'!AW24)</f>
      </c>
      <c r="CZ25" s="167">
        <f>IF('Encodage réponses Es'!AX24="","",'Encodage réponses Es'!AX24)</f>
      </c>
      <c r="DA25" s="167">
        <f>IF('Encodage réponses Es'!AY24="","",'Encodage réponses Es'!AY24)</f>
      </c>
      <c r="DB25" s="167">
        <f>IF('Encodage réponses Es'!AZ24="","",'Encodage réponses Es'!AZ24)</f>
      </c>
      <c r="DC25" s="167">
        <f>IF('Encodage réponses Es'!BA24="","",'Encodage réponses Es'!BA24)</f>
      </c>
      <c r="DD25" s="167">
        <f>IF('Encodage réponses Es'!BB24="","",'Encodage réponses Es'!BB24)</f>
      </c>
      <c r="DE25" s="358">
        <f t="shared" si="25"/>
      </c>
      <c r="DF25" s="359"/>
      <c r="DG25" s="167">
        <f>IF('Encodage réponses Es'!BC24="","",'Encodage réponses Es'!BC24)</f>
      </c>
      <c r="DH25" s="167">
        <f>IF('Encodage réponses Es'!BD24="","",'Encodage réponses Es'!BD24)</f>
      </c>
      <c r="DI25" s="167">
        <f>IF('Encodage réponses Es'!BE24="","",'Encodage réponses Es'!BE24)</f>
      </c>
      <c r="DJ25" s="167">
        <f>IF('Encodage réponses Es'!BF24="","",'Encodage réponses Es'!BF24)</f>
      </c>
      <c r="DK25" s="167">
        <f>IF('Encodage réponses Es'!BG24="","",'Encodage réponses Es'!BG24)</f>
      </c>
      <c r="DL25" s="167">
        <f>IF('Encodage réponses Es'!BH24="","",'Encodage réponses Es'!BH24)</f>
      </c>
      <c r="DM25" s="167">
        <f>IF('Encodage réponses Es'!BI24="","",'Encodage réponses Es'!BI24)</f>
      </c>
      <c r="DN25" s="167">
        <f>IF('Encodage réponses Es'!BJ24="","",'Encodage réponses Es'!BJ24)</f>
      </c>
      <c r="DO25" s="167">
        <f>IF('Encodage réponses Es'!BK24="","",'Encodage réponses Es'!BK24)</f>
      </c>
      <c r="DP25" s="167">
        <f>IF('Encodage réponses Es'!BL24="","",'Encodage réponses Es'!BL24)</f>
      </c>
      <c r="DQ25" s="167">
        <f>IF('Encodage réponses Es'!BM24="","",'Encodage réponses Es'!BM24)</f>
      </c>
      <c r="DR25" s="167">
        <f>IF('Encodage réponses Es'!BN24="","",'Encodage réponses Es'!BN24)</f>
      </c>
      <c r="DS25" s="167">
        <f>IF('Encodage réponses Es'!BO24="","",'Encodage réponses Es'!BO24)</f>
      </c>
      <c r="DT25" s="167">
        <f>IF('Encodage réponses Es'!BP24="","",'Encodage réponses Es'!BP24)</f>
      </c>
      <c r="DU25" s="330">
        <f t="shared" si="26"/>
      </c>
      <c r="DV25" s="331"/>
    </row>
    <row r="26" spans="1:126" ht="11.25" customHeight="1">
      <c r="A26" s="181"/>
      <c r="B26"/>
      <c r="C26" s="278">
        <f>IF('Encodage réponses Es'!C25="","",'Encodage réponses Es'!C25)</f>
        <v>23</v>
      </c>
      <c r="D26" s="340"/>
      <c r="E26" s="291">
        <f t="shared" si="1"/>
      </c>
      <c r="F26" s="290">
        <f t="shared" si="2"/>
      </c>
      <c r="G26" s="322"/>
      <c r="H26" s="291">
        <f t="shared" si="3"/>
      </c>
      <c r="I26" s="29"/>
      <c r="J26" s="291">
        <f t="shared" si="4"/>
      </c>
      <c r="K26" s="290">
        <f t="shared" si="5"/>
      </c>
      <c r="L26" s="291">
        <f t="shared" si="6"/>
      </c>
      <c r="M26" s="290">
        <f t="shared" si="7"/>
      </c>
      <c r="N26" s="291">
        <f t="shared" si="8"/>
      </c>
      <c r="O26" s="290">
        <f t="shared" si="9"/>
      </c>
      <c r="P26" s="291">
        <f>IF(DU26="","",Résultats!DU26)</f>
      </c>
      <c r="Q26" s="292">
        <f t="shared" si="10"/>
      </c>
      <c r="R26" s="181"/>
      <c r="S26" s="284"/>
      <c r="T26" s="186">
        <f>IF('Encodage réponses Es'!E25="","",'Encodage réponses Es'!E25)</f>
      </c>
      <c r="U26" s="100">
        <f>IF('Encodage réponses Es'!J25="","",'Encodage réponses Es'!J25)</f>
      </c>
      <c r="V26" s="100">
        <f>IF('Encodage réponses Es'!AP25="","",'Encodage réponses Es'!AP25)</f>
      </c>
      <c r="W26" s="358">
        <f t="shared" si="11"/>
      </c>
      <c r="X26" s="359"/>
      <c r="Y26" s="167">
        <f>IF('Encodage réponses Es'!H25="","",'Encodage réponses Es'!H25)</f>
      </c>
      <c r="Z26" s="167">
        <f>IF('Encodage réponses Es'!I25="","",'Encodage réponses Es'!I25)</f>
      </c>
      <c r="AA26" s="167">
        <f>IF('Encodage réponses Es'!J25="","",'Encodage réponses Es'!J25)</f>
      </c>
      <c r="AB26" s="167">
        <f>IF('Encodage réponses Es'!K25="","",'Encodage réponses Es'!K25)</f>
      </c>
      <c r="AC26" s="167">
        <f>IF('Encodage réponses Es'!L25="","",'Encodage réponses Es'!L25)</f>
      </c>
      <c r="AD26" s="167">
        <f>IF('Encodage réponses Es'!Q25="","",'Encodage réponses Es'!Q25)</f>
      </c>
      <c r="AE26" s="167">
        <f>IF('Encodage réponses Es'!R25="","",'Encodage réponses Es'!R25)</f>
      </c>
      <c r="AF26" s="167">
        <f>IF('Encodage réponses Es'!S25="","",'Encodage réponses Es'!S25)</f>
      </c>
      <c r="AG26" s="167">
        <f>IF('Encodage réponses Es'!T25="","",'Encodage réponses Es'!T25)</f>
      </c>
      <c r="AH26" s="167">
        <f>IF('Encodage réponses Es'!U25="","",'Encodage réponses Es'!U25)</f>
      </c>
      <c r="AI26" s="167">
        <f>IF('Encodage réponses Es'!V25="","",'Encodage réponses Es'!V25)</f>
      </c>
      <c r="AJ26" s="167">
        <f>IF('Encodage réponses Es'!W25="","",'Encodage réponses Es'!W25)</f>
      </c>
      <c r="AK26" s="167">
        <f>IF('Encodage réponses Es'!X25="","",'Encodage réponses Es'!X25)</f>
      </c>
      <c r="AL26" s="167">
        <f>IF('Encodage réponses Es'!Y25="","",'Encodage réponses Es'!Y25)</f>
      </c>
      <c r="AM26" s="167">
        <f>IF('Encodage réponses Es'!Z25="","",'Encodage réponses Es'!Z25)</f>
      </c>
      <c r="AN26" s="167">
        <f>IF('Encodage réponses Es'!AA25="","",'Encodage réponses Es'!AA25)</f>
      </c>
      <c r="AO26" s="358">
        <f t="shared" si="12"/>
      </c>
      <c r="AP26" s="359"/>
      <c r="AQ26" s="55">
        <f t="shared" si="27"/>
      </c>
      <c r="AR26" s="55">
        <f t="shared" si="13"/>
      </c>
      <c r="AS26" s="241">
        <f>IF('Encodage réponses Es'!M25="","",'Encodage réponses Es'!M25)</f>
      </c>
      <c r="AT26" s="167">
        <f>IF('Encodage réponses Es'!N25="","",'Encodage réponses Es'!N25)</f>
      </c>
      <c r="AU26" s="167">
        <f>IF('Encodage réponses Es'!O25="","",'Encodage réponses Es'!O25)</f>
      </c>
      <c r="AV26" s="167">
        <f>IF('Encodage réponses Es'!P25="","",'Encodage réponses Es'!P25)</f>
      </c>
      <c r="AW26" s="358">
        <f t="shared" si="14"/>
      </c>
      <c r="AX26" s="359"/>
      <c r="AY26" s="167">
        <f>IF('Encodage réponses Es'!AB25="","",'Encodage réponses Es'!AB25)</f>
      </c>
      <c r="AZ26" s="167">
        <f>IF('Encodage réponses Es'!AC25="","",'Encodage réponses Es'!AC25)</f>
      </c>
      <c r="BA26" s="167">
        <f>IF('Encodage réponses Es'!AD25="","",'Encodage réponses Es'!AD25)</f>
      </c>
      <c r="BB26" s="167">
        <f>IF('Encodage réponses Es'!AE25="","",'Encodage réponses Es'!AE25)</f>
      </c>
      <c r="BC26" s="167">
        <f>IF('Encodage réponses Es'!AF25="","",'Encodage réponses Es'!AF25)</f>
      </c>
      <c r="BD26" s="167">
        <f>IF('Encodage réponses Es'!AG25="","",'Encodage réponses Es'!AG25)</f>
      </c>
      <c r="BE26" s="167">
        <f>IF('Encodage réponses Es'!AH25="","",'Encodage réponses Es'!AH25)</f>
      </c>
      <c r="BF26" s="167">
        <f>IF('Encodage réponses Es'!AI25="","",'Encodage réponses Es'!AI25)</f>
      </c>
      <c r="BG26" s="55">
        <f t="shared" si="15"/>
      </c>
      <c r="BH26" s="221">
        <f t="shared" si="16"/>
      </c>
      <c r="BI26" s="150">
        <f t="shared" si="17"/>
      </c>
      <c r="BJ26" s="54">
        <f t="shared" si="18"/>
      </c>
      <c r="BK26" s="167">
        <f>IF('Encodage réponses Es'!BQ25="","",'Encodage réponses Es'!BQ25)</f>
      </c>
      <c r="BL26" s="167">
        <f>IF('Encodage réponses Es'!BR25="","",'Encodage réponses Es'!BR25)</f>
      </c>
      <c r="BM26" s="167">
        <f>IF('Encodage réponses Es'!BS25="","",'Encodage réponses Es'!BS25)</f>
      </c>
      <c r="BN26" s="167">
        <f>IF('Encodage réponses Es'!BT25="","",'Encodage réponses Es'!BT25)</f>
      </c>
      <c r="BO26" s="289"/>
      <c r="BP26" s="358">
        <f t="shared" si="19"/>
      </c>
      <c r="BQ26" s="359"/>
      <c r="BR26" s="167">
        <f>IF('Encodage réponses Es'!BV25="","",'Encodage réponses Es'!BV25)</f>
      </c>
      <c r="BS26" s="167">
        <f>IF('Encodage réponses Es'!BW25="","",'Encodage réponses Es'!BW25)</f>
      </c>
      <c r="BT26" s="167">
        <f>IF('Encodage réponses Es'!BX25="","",'Encodage réponses Es'!BX25)</f>
      </c>
      <c r="BU26" s="167">
        <f>IF('Encodage réponses Es'!BY25="","",'Encodage réponses Es'!BY25)</f>
      </c>
      <c r="BV26" s="167">
        <f>IF('Encodage réponses Es'!BZ25="","",'Encodage réponses Es'!BZ25)</f>
      </c>
      <c r="BW26" s="251">
        <f t="shared" si="20"/>
      </c>
      <c r="BX26" s="221">
        <f t="shared" si="21"/>
      </c>
      <c r="BY26" s="167">
        <f>IF('Encodage réponses Es'!CF25="","",'Encodage réponses Es'!CF25)</f>
      </c>
      <c r="BZ26" s="167">
        <f>IF('Encodage réponses Es'!CG25="","",'Encodage réponses Es'!CG25)</f>
      </c>
      <c r="CA26" s="358">
        <f t="shared" si="22"/>
      </c>
      <c r="CB26" s="359"/>
      <c r="CC26" s="167">
        <f>IF('Encodage réponses Es'!CA25="","",'Encodage réponses Es'!CA25)</f>
      </c>
      <c r="CD26" s="167">
        <f>IF('Encodage réponses Es'!CB25="","",'Encodage réponses Es'!CB25)</f>
      </c>
      <c r="CE26" s="167">
        <f>IF('Encodage réponses Es'!CC25="","",'Encodage réponses Es'!CC25)</f>
      </c>
      <c r="CF26" s="167">
        <f>IF('Encodage réponses Es'!CD25="","",'Encodage réponses Es'!CD25)</f>
      </c>
      <c r="CG26" s="167">
        <f>IF('Encodage réponses Es'!CE25="","",'Encodage réponses Es'!CE25)</f>
      </c>
      <c r="CH26" s="330">
        <f t="shared" si="23"/>
      </c>
      <c r="CI26" s="331"/>
      <c r="CJ26" s="167">
        <f>IF('Encodage réponses Es'!AJ25="","",'Encodage réponses Es'!AJ25)</f>
      </c>
      <c r="CK26" s="167">
        <f>IF('Encodage réponses Es'!AK25="","",'Encodage réponses Es'!AK25)</f>
      </c>
      <c r="CL26" s="167">
        <f>IF('Encodage réponses Es'!AL25="","",'Encodage réponses Es'!AL25)</f>
      </c>
      <c r="CM26" s="167">
        <f>IF('Encodage réponses Es'!AM25="","",'Encodage réponses Es'!AM25)</f>
      </c>
      <c r="CN26" s="167">
        <f>IF('Encodage réponses Es'!AN25="","",'Encodage réponses Es'!AN25)</f>
      </c>
      <c r="CO26" s="167">
        <f>IF('Encodage réponses Es'!AO25="","",'Encodage réponses Es'!AO25)</f>
      </c>
      <c r="CP26" s="167">
        <f>IF('Encodage réponses Es'!AP25="","",'Encodage réponses Es'!AP25)</f>
      </c>
      <c r="CQ26" s="167">
        <f>IF('Encodage réponses Es'!AQ25="","",'Encodage réponses Es'!AQ25)</f>
      </c>
      <c r="CR26" s="167">
        <f>IF('Encodage réponses Es'!AR25="","",'Encodage réponses Es'!AR25)</f>
      </c>
      <c r="CS26" s="167">
        <f>IF('Encodage réponses Es'!AS25="","",'Encodage réponses Es'!AS25)</f>
      </c>
      <c r="CT26" s="167">
        <f>IF('Encodage réponses Es'!AT25="","",'Encodage réponses Es'!AT25)</f>
      </c>
      <c r="CU26" s="167">
        <f>IF('Encodage réponses Es'!AU25="","",'Encodage réponses Es'!AU25)</f>
      </c>
      <c r="CV26" s="358">
        <f t="shared" si="24"/>
      </c>
      <c r="CW26" s="359"/>
      <c r="CX26" s="167">
        <f>IF('Encodage réponses Es'!AV25="","",'Encodage réponses Es'!AV25)</f>
      </c>
      <c r="CY26" s="167">
        <f>IF('Encodage réponses Es'!AW25="","",'Encodage réponses Es'!AW25)</f>
      </c>
      <c r="CZ26" s="167">
        <f>IF('Encodage réponses Es'!AX25="","",'Encodage réponses Es'!AX25)</f>
      </c>
      <c r="DA26" s="167">
        <f>IF('Encodage réponses Es'!AY25="","",'Encodage réponses Es'!AY25)</f>
      </c>
      <c r="DB26" s="167">
        <f>IF('Encodage réponses Es'!AZ25="","",'Encodage réponses Es'!AZ25)</f>
      </c>
      <c r="DC26" s="167">
        <f>IF('Encodage réponses Es'!BA25="","",'Encodage réponses Es'!BA25)</f>
      </c>
      <c r="DD26" s="167">
        <f>IF('Encodage réponses Es'!BB25="","",'Encodage réponses Es'!BB25)</f>
      </c>
      <c r="DE26" s="358">
        <f t="shared" si="25"/>
      </c>
      <c r="DF26" s="359"/>
      <c r="DG26" s="167">
        <f>IF('Encodage réponses Es'!BC25="","",'Encodage réponses Es'!BC25)</f>
      </c>
      <c r="DH26" s="167">
        <f>IF('Encodage réponses Es'!BD25="","",'Encodage réponses Es'!BD25)</f>
      </c>
      <c r="DI26" s="167">
        <f>IF('Encodage réponses Es'!BE25="","",'Encodage réponses Es'!BE25)</f>
      </c>
      <c r="DJ26" s="167">
        <f>IF('Encodage réponses Es'!BF25="","",'Encodage réponses Es'!BF25)</f>
      </c>
      <c r="DK26" s="167">
        <f>IF('Encodage réponses Es'!BG25="","",'Encodage réponses Es'!BG25)</f>
      </c>
      <c r="DL26" s="167">
        <f>IF('Encodage réponses Es'!BH25="","",'Encodage réponses Es'!BH25)</f>
      </c>
      <c r="DM26" s="167">
        <f>IF('Encodage réponses Es'!BI25="","",'Encodage réponses Es'!BI25)</f>
      </c>
      <c r="DN26" s="167">
        <f>IF('Encodage réponses Es'!BJ25="","",'Encodage réponses Es'!BJ25)</f>
      </c>
      <c r="DO26" s="167">
        <f>IF('Encodage réponses Es'!BK25="","",'Encodage réponses Es'!BK25)</f>
      </c>
      <c r="DP26" s="167">
        <f>IF('Encodage réponses Es'!BL25="","",'Encodage réponses Es'!BL25)</f>
      </c>
      <c r="DQ26" s="167">
        <f>IF('Encodage réponses Es'!BM25="","",'Encodage réponses Es'!BM25)</f>
      </c>
      <c r="DR26" s="167">
        <f>IF('Encodage réponses Es'!BN25="","",'Encodage réponses Es'!BN25)</f>
      </c>
      <c r="DS26" s="167">
        <f>IF('Encodage réponses Es'!BO25="","",'Encodage réponses Es'!BO25)</f>
      </c>
      <c r="DT26" s="167">
        <f>IF('Encodage réponses Es'!BP25="","",'Encodage réponses Es'!BP25)</f>
      </c>
      <c r="DU26" s="330">
        <f t="shared" si="26"/>
      </c>
      <c r="DV26" s="331"/>
    </row>
    <row r="27" spans="1:126" ht="11.25" customHeight="1">
      <c r="A27" s="181"/>
      <c r="B27"/>
      <c r="C27" s="278">
        <f>IF('Encodage réponses Es'!C26="","",'Encodage réponses Es'!C26)</f>
        <v>24</v>
      </c>
      <c r="D27" s="340"/>
      <c r="E27" s="291">
        <f t="shared" si="1"/>
      </c>
      <c r="F27" s="290">
        <f t="shared" si="2"/>
      </c>
      <c r="G27" s="322"/>
      <c r="H27" s="291">
        <f t="shared" si="3"/>
      </c>
      <c r="I27" s="29"/>
      <c r="J27" s="291">
        <f t="shared" si="4"/>
      </c>
      <c r="K27" s="290">
        <f t="shared" si="5"/>
      </c>
      <c r="L27" s="291">
        <f t="shared" si="6"/>
      </c>
      <c r="M27" s="290">
        <f t="shared" si="7"/>
      </c>
      <c r="N27" s="291">
        <f t="shared" si="8"/>
      </c>
      <c r="O27" s="290">
        <f t="shared" si="9"/>
      </c>
      <c r="P27" s="291">
        <f>IF(DU27="","",Résultats!DU27)</f>
      </c>
      <c r="Q27" s="292">
        <f t="shared" si="10"/>
      </c>
      <c r="R27" s="181"/>
      <c r="S27" s="284"/>
      <c r="T27" s="186">
        <f>IF('Encodage réponses Es'!E26="","",'Encodage réponses Es'!E26)</f>
      </c>
      <c r="U27" s="100">
        <f>IF('Encodage réponses Es'!J26="","",'Encodage réponses Es'!J26)</f>
      </c>
      <c r="V27" s="100">
        <f>IF('Encodage réponses Es'!AP26="","",'Encodage réponses Es'!AP26)</f>
      </c>
      <c r="W27" s="358">
        <f t="shared" si="11"/>
      </c>
      <c r="X27" s="359"/>
      <c r="Y27" s="167">
        <f>IF('Encodage réponses Es'!H26="","",'Encodage réponses Es'!H26)</f>
      </c>
      <c r="Z27" s="167">
        <f>IF('Encodage réponses Es'!I26="","",'Encodage réponses Es'!I26)</f>
      </c>
      <c r="AA27" s="167">
        <f>IF('Encodage réponses Es'!J26="","",'Encodage réponses Es'!J26)</f>
      </c>
      <c r="AB27" s="167">
        <f>IF('Encodage réponses Es'!K26="","",'Encodage réponses Es'!K26)</f>
      </c>
      <c r="AC27" s="167">
        <f>IF('Encodage réponses Es'!L26="","",'Encodage réponses Es'!L26)</f>
      </c>
      <c r="AD27" s="167">
        <f>IF('Encodage réponses Es'!Q26="","",'Encodage réponses Es'!Q26)</f>
      </c>
      <c r="AE27" s="167">
        <f>IF('Encodage réponses Es'!R26="","",'Encodage réponses Es'!R26)</f>
      </c>
      <c r="AF27" s="167">
        <f>IF('Encodage réponses Es'!S26="","",'Encodage réponses Es'!S26)</f>
      </c>
      <c r="AG27" s="167">
        <f>IF('Encodage réponses Es'!T26="","",'Encodage réponses Es'!T26)</f>
      </c>
      <c r="AH27" s="167">
        <f>IF('Encodage réponses Es'!U26="","",'Encodage réponses Es'!U26)</f>
      </c>
      <c r="AI27" s="167">
        <f>IF('Encodage réponses Es'!V26="","",'Encodage réponses Es'!V26)</f>
      </c>
      <c r="AJ27" s="167">
        <f>IF('Encodage réponses Es'!W26="","",'Encodage réponses Es'!W26)</f>
      </c>
      <c r="AK27" s="167">
        <f>IF('Encodage réponses Es'!X26="","",'Encodage réponses Es'!X26)</f>
      </c>
      <c r="AL27" s="167">
        <f>IF('Encodage réponses Es'!Y26="","",'Encodage réponses Es'!Y26)</f>
      </c>
      <c r="AM27" s="167">
        <f>IF('Encodage réponses Es'!Z26="","",'Encodage réponses Es'!Z26)</f>
      </c>
      <c r="AN27" s="167">
        <f>IF('Encodage réponses Es'!AA26="","",'Encodage réponses Es'!AA26)</f>
      </c>
      <c r="AO27" s="358">
        <f t="shared" si="12"/>
      </c>
      <c r="AP27" s="359"/>
      <c r="AQ27" s="55">
        <f t="shared" si="27"/>
      </c>
      <c r="AR27" s="55">
        <f t="shared" si="13"/>
      </c>
      <c r="AS27" s="241">
        <f>IF('Encodage réponses Es'!M26="","",'Encodage réponses Es'!M26)</f>
      </c>
      <c r="AT27" s="167">
        <f>IF('Encodage réponses Es'!N26="","",'Encodage réponses Es'!N26)</f>
      </c>
      <c r="AU27" s="167">
        <f>IF('Encodage réponses Es'!O26="","",'Encodage réponses Es'!O26)</f>
      </c>
      <c r="AV27" s="167">
        <f>IF('Encodage réponses Es'!P26="","",'Encodage réponses Es'!P26)</f>
      </c>
      <c r="AW27" s="358">
        <f t="shared" si="14"/>
      </c>
      <c r="AX27" s="359"/>
      <c r="AY27" s="167">
        <f>IF('Encodage réponses Es'!AB26="","",'Encodage réponses Es'!AB26)</f>
      </c>
      <c r="AZ27" s="167">
        <f>IF('Encodage réponses Es'!AC26="","",'Encodage réponses Es'!AC26)</f>
      </c>
      <c r="BA27" s="167">
        <f>IF('Encodage réponses Es'!AD26="","",'Encodage réponses Es'!AD26)</f>
      </c>
      <c r="BB27" s="167">
        <f>IF('Encodage réponses Es'!AE26="","",'Encodage réponses Es'!AE26)</f>
      </c>
      <c r="BC27" s="167">
        <f>IF('Encodage réponses Es'!AF26="","",'Encodage réponses Es'!AF26)</f>
      </c>
      <c r="BD27" s="167">
        <f>IF('Encodage réponses Es'!AG26="","",'Encodage réponses Es'!AG26)</f>
      </c>
      <c r="BE27" s="167">
        <f>IF('Encodage réponses Es'!AH26="","",'Encodage réponses Es'!AH26)</f>
      </c>
      <c r="BF27" s="167">
        <f>IF('Encodage réponses Es'!AI26="","",'Encodage réponses Es'!AI26)</f>
      </c>
      <c r="BG27" s="55">
        <f t="shared" si="15"/>
      </c>
      <c r="BH27" s="221">
        <f t="shared" si="16"/>
      </c>
      <c r="BI27" s="150">
        <f t="shared" si="17"/>
      </c>
      <c r="BJ27" s="54">
        <f t="shared" si="18"/>
      </c>
      <c r="BK27" s="167">
        <f>IF('Encodage réponses Es'!BQ26="","",'Encodage réponses Es'!BQ26)</f>
      </c>
      <c r="BL27" s="167">
        <f>IF('Encodage réponses Es'!BR26="","",'Encodage réponses Es'!BR26)</f>
      </c>
      <c r="BM27" s="167">
        <f>IF('Encodage réponses Es'!BS26="","",'Encodage réponses Es'!BS26)</f>
      </c>
      <c r="BN27" s="167">
        <f>IF('Encodage réponses Es'!BT26="","",'Encodage réponses Es'!BT26)</f>
      </c>
      <c r="BO27" s="289"/>
      <c r="BP27" s="358">
        <f t="shared" si="19"/>
      </c>
      <c r="BQ27" s="359"/>
      <c r="BR27" s="167">
        <f>IF('Encodage réponses Es'!BV26="","",'Encodage réponses Es'!BV26)</f>
      </c>
      <c r="BS27" s="167">
        <f>IF('Encodage réponses Es'!BW26="","",'Encodage réponses Es'!BW26)</f>
      </c>
      <c r="BT27" s="167">
        <f>IF('Encodage réponses Es'!BX26="","",'Encodage réponses Es'!BX26)</f>
      </c>
      <c r="BU27" s="167">
        <f>IF('Encodage réponses Es'!BY26="","",'Encodage réponses Es'!BY26)</f>
      </c>
      <c r="BV27" s="167">
        <f>IF('Encodage réponses Es'!BZ26="","",'Encodage réponses Es'!BZ26)</f>
      </c>
      <c r="BW27" s="251">
        <f t="shared" si="20"/>
      </c>
      <c r="BX27" s="221">
        <f t="shared" si="21"/>
      </c>
      <c r="BY27" s="167">
        <f>IF('Encodage réponses Es'!CF26="","",'Encodage réponses Es'!CF26)</f>
      </c>
      <c r="BZ27" s="167">
        <f>IF('Encodage réponses Es'!CG26="","",'Encodage réponses Es'!CG26)</f>
      </c>
      <c r="CA27" s="358">
        <f t="shared" si="22"/>
      </c>
      <c r="CB27" s="359"/>
      <c r="CC27" s="167">
        <f>IF('Encodage réponses Es'!CA26="","",'Encodage réponses Es'!CA26)</f>
      </c>
      <c r="CD27" s="167">
        <f>IF('Encodage réponses Es'!CB26="","",'Encodage réponses Es'!CB26)</f>
      </c>
      <c r="CE27" s="167">
        <f>IF('Encodage réponses Es'!CC26="","",'Encodage réponses Es'!CC26)</f>
      </c>
      <c r="CF27" s="167">
        <f>IF('Encodage réponses Es'!CD26="","",'Encodage réponses Es'!CD26)</f>
      </c>
      <c r="CG27" s="167">
        <f>IF('Encodage réponses Es'!CE26="","",'Encodage réponses Es'!CE26)</f>
      </c>
      <c r="CH27" s="330">
        <f t="shared" si="23"/>
      </c>
      <c r="CI27" s="331"/>
      <c r="CJ27" s="167">
        <f>IF('Encodage réponses Es'!AJ26="","",'Encodage réponses Es'!AJ26)</f>
      </c>
      <c r="CK27" s="167">
        <f>IF('Encodage réponses Es'!AK26="","",'Encodage réponses Es'!AK26)</f>
      </c>
      <c r="CL27" s="167">
        <f>IF('Encodage réponses Es'!AL26="","",'Encodage réponses Es'!AL26)</f>
      </c>
      <c r="CM27" s="167">
        <f>IF('Encodage réponses Es'!AM26="","",'Encodage réponses Es'!AM26)</f>
      </c>
      <c r="CN27" s="167">
        <f>IF('Encodage réponses Es'!AN26="","",'Encodage réponses Es'!AN26)</f>
      </c>
      <c r="CO27" s="167">
        <f>IF('Encodage réponses Es'!AO26="","",'Encodage réponses Es'!AO26)</f>
      </c>
      <c r="CP27" s="167">
        <f>IF('Encodage réponses Es'!AP26="","",'Encodage réponses Es'!AP26)</f>
      </c>
      <c r="CQ27" s="167">
        <f>IF('Encodage réponses Es'!AQ26="","",'Encodage réponses Es'!AQ26)</f>
      </c>
      <c r="CR27" s="167">
        <f>IF('Encodage réponses Es'!AR26="","",'Encodage réponses Es'!AR26)</f>
      </c>
      <c r="CS27" s="167">
        <f>IF('Encodage réponses Es'!AS26="","",'Encodage réponses Es'!AS26)</f>
      </c>
      <c r="CT27" s="167">
        <f>IF('Encodage réponses Es'!AT26="","",'Encodage réponses Es'!AT26)</f>
      </c>
      <c r="CU27" s="167">
        <f>IF('Encodage réponses Es'!AU26="","",'Encodage réponses Es'!AU26)</f>
      </c>
      <c r="CV27" s="358">
        <f t="shared" si="24"/>
      </c>
      <c r="CW27" s="359"/>
      <c r="CX27" s="167">
        <f>IF('Encodage réponses Es'!AV26="","",'Encodage réponses Es'!AV26)</f>
      </c>
      <c r="CY27" s="167">
        <f>IF('Encodage réponses Es'!AW26="","",'Encodage réponses Es'!AW26)</f>
      </c>
      <c r="CZ27" s="167">
        <f>IF('Encodage réponses Es'!AX26="","",'Encodage réponses Es'!AX26)</f>
      </c>
      <c r="DA27" s="167">
        <f>IF('Encodage réponses Es'!AY26="","",'Encodage réponses Es'!AY26)</f>
      </c>
      <c r="DB27" s="167">
        <f>IF('Encodage réponses Es'!AZ26="","",'Encodage réponses Es'!AZ26)</f>
      </c>
      <c r="DC27" s="167">
        <f>IF('Encodage réponses Es'!BA26="","",'Encodage réponses Es'!BA26)</f>
      </c>
      <c r="DD27" s="167">
        <f>IF('Encodage réponses Es'!BB26="","",'Encodage réponses Es'!BB26)</f>
      </c>
      <c r="DE27" s="358">
        <f t="shared" si="25"/>
      </c>
      <c r="DF27" s="359"/>
      <c r="DG27" s="167">
        <f>IF('Encodage réponses Es'!BC26="","",'Encodage réponses Es'!BC26)</f>
      </c>
      <c r="DH27" s="167">
        <f>IF('Encodage réponses Es'!BD26="","",'Encodage réponses Es'!BD26)</f>
      </c>
      <c r="DI27" s="167">
        <f>IF('Encodage réponses Es'!BE26="","",'Encodage réponses Es'!BE26)</f>
      </c>
      <c r="DJ27" s="167">
        <f>IF('Encodage réponses Es'!BF26="","",'Encodage réponses Es'!BF26)</f>
      </c>
      <c r="DK27" s="167">
        <f>IF('Encodage réponses Es'!BG26="","",'Encodage réponses Es'!BG26)</f>
      </c>
      <c r="DL27" s="167">
        <f>IF('Encodage réponses Es'!BH26="","",'Encodage réponses Es'!BH26)</f>
      </c>
      <c r="DM27" s="167">
        <f>IF('Encodage réponses Es'!BI26="","",'Encodage réponses Es'!BI26)</f>
      </c>
      <c r="DN27" s="167">
        <f>IF('Encodage réponses Es'!BJ26="","",'Encodage réponses Es'!BJ26)</f>
      </c>
      <c r="DO27" s="167">
        <f>IF('Encodage réponses Es'!BK26="","",'Encodage réponses Es'!BK26)</f>
      </c>
      <c r="DP27" s="167">
        <f>IF('Encodage réponses Es'!BL26="","",'Encodage réponses Es'!BL26)</f>
      </c>
      <c r="DQ27" s="167">
        <f>IF('Encodage réponses Es'!BM26="","",'Encodage réponses Es'!BM26)</f>
      </c>
      <c r="DR27" s="167">
        <f>IF('Encodage réponses Es'!BN26="","",'Encodage réponses Es'!BN26)</f>
      </c>
      <c r="DS27" s="167">
        <f>IF('Encodage réponses Es'!BO26="","",'Encodage réponses Es'!BO26)</f>
      </c>
      <c r="DT27" s="167">
        <f>IF('Encodage réponses Es'!BP26="","",'Encodage réponses Es'!BP26)</f>
      </c>
      <c r="DU27" s="330">
        <f t="shared" si="26"/>
      </c>
      <c r="DV27" s="331"/>
    </row>
    <row r="28" spans="1:126" ht="11.25" customHeight="1">
      <c r="A28" s="181"/>
      <c r="B28"/>
      <c r="C28" s="278">
        <f>IF('Encodage réponses Es'!C27="","",'Encodage réponses Es'!C27)</f>
        <v>25</v>
      </c>
      <c r="D28" s="340"/>
      <c r="E28" s="291">
        <f t="shared" si="1"/>
      </c>
      <c r="F28" s="290">
        <f t="shared" si="2"/>
      </c>
      <c r="G28" s="322"/>
      <c r="H28" s="291">
        <f t="shared" si="3"/>
      </c>
      <c r="I28" s="29"/>
      <c r="J28" s="291">
        <f t="shared" si="4"/>
      </c>
      <c r="K28" s="290">
        <f t="shared" si="5"/>
      </c>
      <c r="L28" s="291">
        <f t="shared" si="6"/>
      </c>
      <c r="M28" s="290">
        <f t="shared" si="7"/>
      </c>
      <c r="N28" s="291">
        <f t="shared" si="8"/>
      </c>
      <c r="O28" s="290">
        <f t="shared" si="9"/>
      </c>
      <c r="P28" s="291">
        <f>IF(DU28="","",Résultats!DU28)</f>
      </c>
      <c r="Q28" s="292">
        <f t="shared" si="10"/>
      </c>
      <c r="R28" s="181"/>
      <c r="S28" s="284"/>
      <c r="T28" s="186">
        <f>IF('Encodage réponses Es'!E27="","",'Encodage réponses Es'!E27)</f>
      </c>
      <c r="U28" s="100">
        <f>IF('Encodage réponses Es'!J27="","",'Encodage réponses Es'!J27)</f>
      </c>
      <c r="V28" s="100">
        <f>IF('Encodage réponses Es'!AP27="","",'Encodage réponses Es'!AP27)</f>
      </c>
      <c r="W28" s="358">
        <f t="shared" si="11"/>
      </c>
      <c r="X28" s="359"/>
      <c r="Y28" s="167">
        <f>IF('Encodage réponses Es'!H27="","",'Encodage réponses Es'!H27)</f>
      </c>
      <c r="Z28" s="167">
        <f>IF('Encodage réponses Es'!I27="","",'Encodage réponses Es'!I27)</f>
      </c>
      <c r="AA28" s="167">
        <f>IF('Encodage réponses Es'!J27="","",'Encodage réponses Es'!J27)</f>
      </c>
      <c r="AB28" s="167">
        <f>IF('Encodage réponses Es'!K27="","",'Encodage réponses Es'!K27)</f>
      </c>
      <c r="AC28" s="167">
        <f>IF('Encodage réponses Es'!L27="","",'Encodage réponses Es'!L27)</f>
      </c>
      <c r="AD28" s="167">
        <f>IF('Encodage réponses Es'!Q27="","",'Encodage réponses Es'!Q27)</f>
      </c>
      <c r="AE28" s="167">
        <f>IF('Encodage réponses Es'!R27="","",'Encodage réponses Es'!R27)</f>
      </c>
      <c r="AF28" s="167">
        <f>IF('Encodage réponses Es'!S27="","",'Encodage réponses Es'!S27)</f>
      </c>
      <c r="AG28" s="167">
        <f>IF('Encodage réponses Es'!T27="","",'Encodage réponses Es'!T27)</f>
      </c>
      <c r="AH28" s="167">
        <f>IF('Encodage réponses Es'!U27="","",'Encodage réponses Es'!U27)</f>
      </c>
      <c r="AI28" s="167">
        <f>IF('Encodage réponses Es'!V27="","",'Encodage réponses Es'!V27)</f>
      </c>
      <c r="AJ28" s="167">
        <f>IF('Encodage réponses Es'!W27="","",'Encodage réponses Es'!W27)</f>
      </c>
      <c r="AK28" s="167">
        <f>IF('Encodage réponses Es'!X27="","",'Encodage réponses Es'!X27)</f>
      </c>
      <c r="AL28" s="167">
        <f>IF('Encodage réponses Es'!Y27="","",'Encodage réponses Es'!Y27)</f>
      </c>
      <c r="AM28" s="167">
        <f>IF('Encodage réponses Es'!Z27="","",'Encodage réponses Es'!Z27)</f>
      </c>
      <c r="AN28" s="167">
        <f>IF('Encodage réponses Es'!AA27="","",'Encodage réponses Es'!AA27)</f>
      </c>
      <c r="AO28" s="358">
        <f t="shared" si="12"/>
      </c>
      <c r="AP28" s="359"/>
      <c r="AQ28" s="55">
        <f t="shared" si="27"/>
      </c>
      <c r="AR28" s="55">
        <f t="shared" si="13"/>
      </c>
      <c r="AS28" s="241">
        <f>IF('Encodage réponses Es'!M27="","",'Encodage réponses Es'!M27)</f>
      </c>
      <c r="AT28" s="167">
        <f>IF('Encodage réponses Es'!N27="","",'Encodage réponses Es'!N27)</f>
      </c>
      <c r="AU28" s="167">
        <f>IF('Encodage réponses Es'!O27="","",'Encodage réponses Es'!O27)</f>
      </c>
      <c r="AV28" s="167">
        <f>IF('Encodage réponses Es'!P27="","",'Encodage réponses Es'!P27)</f>
      </c>
      <c r="AW28" s="358">
        <f t="shared" si="14"/>
      </c>
      <c r="AX28" s="359"/>
      <c r="AY28" s="167">
        <f>IF('Encodage réponses Es'!AB27="","",'Encodage réponses Es'!AB27)</f>
      </c>
      <c r="AZ28" s="167">
        <f>IF('Encodage réponses Es'!AC27="","",'Encodage réponses Es'!AC27)</f>
      </c>
      <c r="BA28" s="167">
        <f>IF('Encodage réponses Es'!AD27="","",'Encodage réponses Es'!AD27)</f>
      </c>
      <c r="BB28" s="167">
        <f>IF('Encodage réponses Es'!AE27="","",'Encodage réponses Es'!AE27)</f>
      </c>
      <c r="BC28" s="167">
        <f>IF('Encodage réponses Es'!AF27="","",'Encodage réponses Es'!AF27)</f>
      </c>
      <c r="BD28" s="167">
        <f>IF('Encodage réponses Es'!AG27="","",'Encodage réponses Es'!AG27)</f>
      </c>
      <c r="BE28" s="167">
        <f>IF('Encodage réponses Es'!AH27="","",'Encodage réponses Es'!AH27)</f>
      </c>
      <c r="BF28" s="167">
        <f>IF('Encodage réponses Es'!AI27="","",'Encodage réponses Es'!AI27)</f>
      </c>
      <c r="BG28" s="55">
        <f t="shared" si="15"/>
      </c>
      <c r="BH28" s="221">
        <f t="shared" si="16"/>
      </c>
      <c r="BI28" s="150">
        <f t="shared" si="17"/>
      </c>
      <c r="BJ28" s="54">
        <f t="shared" si="18"/>
      </c>
      <c r="BK28" s="167">
        <f>IF('Encodage réponses Es'!BQ27="","",'Encodage réponses Es'!BQ27)</f>
      </c>
      <c r="BL28" s="167">
        <f>IF('Encodage réponses Es'!BR27="","",'Encodage réponses Es'!BR27)</f>
      </c>
      <c r="BM28" s="167">
        <f>IF('Encodage réponses Es'!BS27="","",'Encodage réponses Es'!BS27)</f>
      </c>
      <c r="BN28" s="167">
        <f>IF('Encodage réponses Es'!BT27="","",'Encodage réponses Es'!BT27)</f>
      </c>
      <c r="BO28" s="289"/>
      <c r="BP28" s="358">
        <f t="shared" si="19"/>
      </c>
      <c r="BQ28" s="359"/>
      <c r="BR28" s="167">
        <f>IF('Encodage réponses Es'!BV27="","",'Encodage réponses Es'!BV27)</f>
      </c>
      <c r="BS28" s="167">
        <f>IF('Encodage réponses Es'!BW27="","",'Encodage réponses Es'!BW27)</f>
      </c>
      <c r="BT28" s="167">
        <f>IF('Encodage réponses Es'!BX27="","",'Encodage réponses Es'!BX27)</f>
      </c>
      <c r="BU28" s="167">
        <f>IF('Encodage réponses Es'!BY27="","",'Encodage réponses Es'!BY27)</f>
      </c>
      <c r="BV28" s="167">
        <f>IF('Encodage réponses Es'!BZ27="","",'Encodage réponses Es'!BZ27)</f>
      </c>
      <c r="BW28" s="251">
        <f t="shared" si="20"/>
      </c>
      <c r="BX28" s="221">
        <f t="shared" si="21"/>
      </c>
      <c r="BY28" s="167">
        <f>IF('Encodage réponses Es'!CF27="","",'Encodage réponses Es'!CF27)</f>
      </c>
      <c r="BZ28" s="167">
        <f>IF('Encodage réponses Es'!CG27="","",'Encodage réponses Es'!CG27)</f>
      </c>
      <c r="CA28" s="358">
        <f t="shared" si="22"/>
      </c>
      <c r="CB28" s="359"/>
      <c r="CC28" s="167">
        <f>IF('Encodage réponses Es'!CA27="","",'Encodage réponses Es'!CA27)</f>
      </c>
      <c r="CD28" s="167">
        <f>IF('Encodage réponses Es'!CB27="","",'Encodage réponses Es'!CB27)</f>
      </c>
      <c r="CE28" s="167">
        <f>IF('Encodage réponses Es'!CC27="","",'Encodage réponses Es'!CC27)</f>
      </c>
      <c r="CF28" s="167">
        <f>IF('Encodage réponses Es'!CD27="","",'Encodage réponses Es'!CD27)</f>
      </c>
      <c r="CG28" s="167">
        <f>IF('Encodage réponses Es'!CE27="","",'Encodage réponses Es'!CE27)</f>
      </c>
      <c r="CH28" s="330">
        <f t="shared" si="23"/>
      </c>
      <c r="CI28" s="331"/>
      <c r="CJ28" s="167">
        <f>IF('Encodage réponses Es'!AJ27="","",'Encodage réponses Es'!AJ27)</f>
      </c>
      <c r="CK28" s="167">
        <f>IF('Encodage réponses Es'!AK27="","",'Encodage réponses Es'!AK27)</f>
      </c>
      <c r="CL28" s="167">
        <f>IF('Encodage réponses Es'!AL27="","",'Encodage réponses Es'!AL27)</f>
      </c>
      <c r="CM28" s="167">
        <f>IF('Encodage réponses Es'!AM27="","",'Encodage réponses Es'!AM27)</f>
      </c>
      <c r="CN28" s="167">
        <f>IF('Encodage réponses Es'!AN27="","",'Encodage réponses Es'!AN27)</f>
      </c>
      <c r="CO28" s="167">
        <f>IF('Encodage réponses Es'!AO27="","",'Encodage réponses Es'!AO27)</f>
      </c>
      <c r="CP28" s="167">
        <f>IF('Encodage réponses Es'!AP27="","",'Encodage réponses Es'!AP27)</f>
      </c>
      <c r="CQ28" s="167">
        <f>IF('Encodage réponses Es'!AQ27="","",'Encodage réponses Es'!AQ27)</f>
      </c>
      <c r="CR28" s="167">
        <f>IF('Encodage réponses Es'!AR27="","",'Encodage réponses Es'!AR27)</f>
      </c>
      <c r="CS28" s="167">
        <f>IF('Encodage réponses Es'!AS27="","",'Encodage réponses Es'!AS27)</f>
      </c>
      <c r="CT28" s="167">
        <f>IF('Encodage réponses Es'!AT27="","",'Encodage réponses Es'!AT27)</f>
      </c>
      <c r="CU28" s="167">
        <f>IF('Encodage réponses Es'!AU27="","",'Encodage réponses Es'!AU27)</f>
      </c>
      <c r="CV28" s="358">
        <f t="shared" si="24"/>
      </c>
      <c r="CW28" s="359"/>
      <c r="CX28" s="167">
        <f>IF('Encodage réponses Es'!AV27="","",'Encodage réponses Es'!AV27)</f>
      </c>
      <c r="CY28" s="167">
        <f>IF('Encodage réponses Es'!AW27="","",'Encodage réponses Es'!AW27)</f>
      </c>
      <c r="CZ28" s="167">
        <f>IF('Encodage réponses Es'!AX27="","",'Encodage réponses Es'!AX27)</f>
      </c>
      <c r="DA28" s="167">
        <f>IF('Encodage réponses Es'!AY27="","",'Encodage réponses Es'!AY27)</f>
      </c>
      <c r="DB28" s="167">
        <f>IF('Encodage réponses Es'!AZ27="","",'Encodage réponses Es'!AZ27)</f>
      </c>
      <c r="DC28" s="167">
        <f>IF('Encodage réponses Es'!BA27="","",'Encodage réponses Es'!BA27)</f>
      </c>
      <c r="DD28" s="167">
        <f>IF('Encodage réponses Es'!BB27="","",'Encodage réponses Es'!BB27)</f>
      </c>
      <c r="DE28" s="358">
        <f t="shared" si="25"/>
      </c>
      <c r="DF28" s="359"/>
      <c r="DG28" s="167">
        <f>IF('Encodage réponses Es'!BC27="","",'Encodage réponses Es'!BC27)</f>
      </c>
      <c r="DH28" s="167">
        <f>IF('Encodage réponses Es'!BD27="","",'Encodage réponses Es'!BD27)</f>
      </c>
      <c r="DI28" s="167">
        <f>IF('Encodage réponses Es'!BE27="","",'Encodage réponses Es'!BE27)</f>
      </c>
      <c r="DJ28" s="167">
        <f>IF('Encodage réponses Es'!BF27="","",'Encodage réponses Es'!BF27)</f>
      </c>
      <c r="DK28" s="167">
        <f>IF('Encodage réponses Es'!BG27="","",'Encodage réponses Es'!BG27)</f>
      </c>
      <c r="DL28" s="167">
        <f>IF('Encodage réponses Es'!BH27="","",'Encodage réponses Es'!BH27)</f>
      </c>
      <c r="DM28" s="167">
        <f>IF('Encodage réponses Es'!BI27="","",'Encodage réponses Es'!BI27)</f>
      </c>
      <c r="DN28" s="167">
        <f>IF('Encodage réponses Es'!BJ27="","",'Encodage réponses Es'!BJ27)</f>
      </c>
      <c r="DO28" s="167">
        <f>IF('Encodage réponses Es'!BK27="","",'Encodage réponses Es'!BK27)</f>
      </c>
      <c r="DP28" s="167">
        <f>IF('Encodage réponses Es'!BL27="","",'Encodage réponses Es'!BL27)</f>
      </c>
      <c r="DQ28" s="167">
        <f>IF('Encodage réponses Es'!BM27="","",'Encodage réponses Es'!BM27)</f>
      </c>
      <c r="DR28" s="167">
        <f>IF('Encodage réponses Es'!BN27="","",'Encodage réponses Es'!BN27)</f>
      </c>
      <c r="DS28" s="167">
        <f>IF('Encodage réponses Es'!BO27="","",'Encodage réponses Es'!BO27)</f>
      </c>
      <c r="DT28" s="167">
        <f>IF('Encodage réponses Es'!BP27="","",'Encodage réponses Es'!BP27)</f>
      </c>
      <c r="DU28" s="330">
        <f t="shared" si="26"/>
      </c>
      <c r="DV28" s="331"/>
    </row>
    <row r="29" spans="1:126" ht="11.25" customHeight="1">
      <c r="A29" s="181"/>
      <c r="B29"/>
      <c r="C29" s="278">
        <f>IF('Encodage réponses Es'!C28="","",'Encodage réponses Es'!C28)</f>
        <v>26</v>
      </c>
      <c r="D29" s="340"/>
      <c r="E29" s="291">
        <f t="shared" si="1"/>
      </c>
      <c r="F29" s="290">
        <f t="shared" si="2"/>
      </c>
      <c r="G29" s="322"/>
      <c r="H29" s="291">
        <f t="shared" si="3"/>
      </c>
      <c r="I29" s="29"/>
      <c r="J29" s="291">
        <f t="shared" si="4"/>
      </c>
      <c r="K29" s="290">
        <f t="shared" si="5"/>
      </c>
      <c r="L29" s="291">
        <f t="shared" si="6"/>
      </c>
      <c r="M29" s="290">
        <f t="shared" si="7"/>
      </c>
      <c r="N29" s="291">
        <f t="shared" si="8"/>
      </c>
      <c r="O29" s="290">
        <f t="shared" si="9"/>
      </c>
      <c r="P29" s="291">
        <f>IF(DU29="","",Résultats!DU29)</f>
      </c>
      <c r="Q29" s="292">
        <f t="shared" si="10"/>
      </c>
      <c r="R29" s="181"/>
      <c r="S29" s="284"/>
      <c r="T29" s="186">
        <f>IF('Encodage réponses Es'!E28="","",'Encodage réponses Es'!E28)</f>
      </c>
      <c r="U29" s="100">
        <f>IF('Encodage réponses Es'!J28="","",'Encodage réponses Es'!J28)</f>
      </c>
      <c r="V29" s="100">
        <f>IF('Encodage réponses Es'!AP28="","",'Encodage réponses Es'!AP28)</f>
      </c>
      <c r="W29" s="358">
        <f t="shared" si="11"/>
      </c>
      <c r="X29" s="359"/>
      <c r="Y29" s="167">
        <f>IF('Encodage réponses Es'!H28="","",'Encodage réponses Es'!H28)</f>
      </c>
      <c r="Z29" s="167">
        <f>IF('Encodage réponses Es'!I28="","",'Encodage réponses Es'!I28)</f>
      </c>
      <c r="AA29" s="167">
        <f>IF('Encodage réponses Es'!J28="","",'Encodage réponses Es'!J28)</f>
      </c>
      <c r="AB29" s="167">
        <f>IF('Encodage réponses Es'!K28="","",'Encodage réponses Es'!K28)</f>
      </c>
      <c r="AC29" s="167">
        <f>IF('Encodage réponses Es'!L28="","",'Encodage réponses Es'!L28)</f>
      </c>
      <c r="AD29" s="167">
        <f>IF('Encodage réponses Es'!Q28="","",'Encodage réponses Es'!Q28)</f>
      </c>
      <c r="AE29" s="167">
        <f>IF('Encodage réponses Es'!R28="","",'Encodage réponses Es'!R28)</f>
      </c>
      <c r="AF29" s="167">
        <f>IF('Encodage réponses Es'!S28="","",'Encodage réponses Es'!S28)</f>
      </c>
      <c r="AG29" s="167">
        <f>IF('Encodage réponses Es'!T28="","",'Encodage réponses Es'!T28)</f>
      </c>
      <c r="AH29" s="167">
        <f>IF('Encodage réponses Es'!U28="","",'Encodage réponses Es'!U28)</f>
      </c>
      <c r="AI29" s="167">
        <f>IF('Encodage réponses Es'!V28="","",'Encodage réponses Es'!V28)</f>
      </c>
      <c r="AJ29" s="167">
        <f>IF('Encodage réponses Es'!W28="","",'Encodage réponses Es'!W28)</f>
      </c>
      <c r="AK29" s="167">
        <f>IF('Encodage réponses Es'!X28="","",'Encodage réponses Es'!X28)</f>
      </c>
      <c r="AL29" s="167">
        <f>IF('Encodage réponses Es'!Y28="","",'Encodage réponses Es'!Y28)</f>
      </c>
      <c r="AM29" s="167">
        <f>IF('Encodage réponses Es'!Z28="","",'Encodage réponses Es'!Z28)</f>
      </c>
      <c r="AN29" s="167">
        <f>IF('Encodage réponses Es'!AA28="","",'Encodage réponses Es'!AA28)</f>
      </c>
      <c r="AO29" s="358">
        <f t="shared" si="12"/>
      </c>
      <c r="AP29" s="359"/>
      <c r="AQ29" s="55">
        <f t="shared" si="27"/>
      </c>
      <c r="AR29" s="55">
        <f t="shared" si="13"/>
      </c>
      <c r="AS29" s="241">
        <f>IF('Encodage réponses Es'!M28="","",'Encodage réponses Es'!M28)</f>
      </c>
      <c r="AT29" s="167">
        <f>IF('Encodage réponses Es'!N28="","",'Encodage réponses Es'!N28)</f>
      </c>
      <c r="AU29" s="167">
        <f>IF('Encodage réponses Es'!O28="","",'Encodage réponses Es'!O28)</f>
      </c>
      <c r="AV29" s="167">
        <f>IF('Encodage réponses Es'!P28="","",'Encodage réponses Es'!P28)</f>
      </c>
      <c r="AW29" s="358">
        <f t="shared" si="14"/>
      </c>
      <c r="AX29" s="359"/>
      <c r="AY29" s="167">
        <f>IF('Encodage réponses Es'!AB28="","",'Encodage réponses Es'!AB28)</f>
      </c>
      <c r="AZ29" s="167">
        <f>IF('Encodage réponses Es'!AC28="","",'Encodage réponses Es'!AC28)</f>
      </c>
      <c r="BA29" s="167">
        <f>IF('Encodage réponses Es'!AD28="","",'Encodage réponses Es'!AD28)</f>
      </c>
      <c r="BB29" s="167">
        <f>IF('Encodage réponses Es'!AE28="","",'Encodage réponses Es'!AE28)</f>
      </c>
      <c r="BC29" s="167">
        <f>IF('Encodage réponses Es'!AF28="","",'Encodage réponses Es'!AF28)</f>
      </c>
      <c r="BD29" s="167">
        <f>IF('Encodage réponses Es'!AG28="","",'Encodage réponses Es'!AG28)</f>
      </c>
      <c r="BE29" s="167">
        <f>IF('Encodage réponses Es'!AH28="","",'Encodage réponses Es'!AH28)</f>
      </c>
      <c r="BF29" s="167">
        <f>IF('Encodage réponses Es'!AI28="","",'Encodage réponses Es'!AI28)</f>
      </c>
      <c r="BG29" s="55">
        <f t="shared" si="15"/>
      </c>
      <c r="BH29" s="221">
        <f t="shared" si="16"/>
      </c>
      <c r="BI29" s="150">
        <f t="shared" si="17"/>
      </c>
      <c r="BJ29" s="54">
        <f t="shared" si="18"/>
      </c>
      <c r="BK29" s="167">
        <f>IF('Encodage réponses Es'!BQ28="","",'Encodage réponses Es'!BQ28)</f>
      </c>
      <c r="BL29" s="167">
        <f>IF('Encodage réponses Es'!BR28="","",'Encodage réponses Es'!BR28)</f>
      </c>
      <c r="BM29" s="167">
        <f>IF('Encodage réponses Es'!BS28="","",'Encodage réponses Es'!BS28)</f>
      </c>
      <c r="BN29" s="167">
        <f>IF('Encodage réponses Es'!BT28="","",'Encodage réponses Es'!BT28)</f>
      </c>
      <c r="BO29" s="289"/>
      <c r="BP29" s="358">
        <f t="shared" si="19"/>
      </c>
      <c r="BQ29" s="359"/>
      <c r="BR29" s="167">
        <f>IF('Encodage réponses Es'!BV28="","",'Encodage réponses Es'!BV28)</f>
      </c>
      <c r="BS29" s="167">
        <f>IF('Encodage réponses Es'!BW28="","",'Encodage réponses Es'!BW28)</f>
      </c>
      <c r="BT29" s="167">
        <f>IF('Encodage réponses Es'!BX28="","",'Encodage réponses Es'!BX28)</f>
      </c>
      <c r="BU29" s="167">
        <f>IF('Encodage réponses Es'!BY28="","",'Encodage réponses Es'!BY28)</f>
      </c>
      <c r="BV29" s="167">
        <f>IF('Encodage réponses Es'!BZ28="","",'Encodage réponses Es'!BZ28)</f>
      </c>
      <c r="BW29" s="251">
        <f t="shared" si="20"/>
      </c>
      <c r="BX29" s="221">
        <f t="shared" si="21"/>
      </c>
      <c r="BY29" s="167">
        <f>IF('Encodage réponses Es'!CF28="","",'Encodage réponses Es'!CF28)</f>
      </c>
      <c r="BZ29" s="167">
        <f>IF('Encodage réponses Es'!CG28="","",'Encodage réponses Es'!CG28)</f>
      </c>
      <c r="CA29" s="358">
        <f t="shared" si="22"/>
      </c>
      <c r="CB29" s="359"/>
      <c r="CC29" s="167">
        <f>IF('Encodage réponses Es'!CA28="","",'Encodage réponses Es'!CA28)</f>
      </c>
      <c r="CD29" s="167">
        <f>IF('Encodage réponses Es'!CB28="","",'Encodage réponses Es'!CB28)</f>
      </c>
      <c r="CE29" s="167">
        <f>IF('Encodage réponses Es'!CC28="","",'Encodage réponses Es'!CC28)</f>
      </c>
      <c r="CF29" s="167">
        <f>IF('Encodage réponses Es'!CD28="","",'Encodage réponses Es'!CD28)</f>
      </c>
      <c r="CG29" s="167">
        <f>IF('Encodage réponses Es'!CE28="","",'Encodage réponses Es'!CE28)</f>
      </c>
      <c r="CH29" s="330">
        <f t="shared" si="23"/>
      </c>
      <c r="CI29" s="331"/>
      <c r="CJ29" s="167">
        <f>IF('Encodage réponses Es'!AJ28="","",'Encodage réponses Es'!AJ28)</f>
      </c>
      <c r="CK29" s="167">
        <f>IF('Encodage réponses Es'!AK28="","",'Encodage réponses Es'!AK28)</f>
      </c>
      <c r="CL29" s="167">
        <f>IF('Encodage réponses Es'!AL28="","",'Encodage réponses Es'!AL28)</f>
      </c>
      <c r="CM29" s="167">
        <f>IF('Encodage réponses Es'!AM28="","",'Encodage réponses Es'!AM28)</f>
      </c>
      <c r="CN29" s="167">
        <f>IF('Encodage réponses Es'!AN28="","",'Encodage réponses Es'!AN28)</f>
      </c>
      <c r="CO29" s="167">
        <f>IF('Encodage réponses Es'!AO28="","",'Encodage réponses Es'!AO28)</f>
      </c>
      <c r="CP29" s="167">
        <f>IF('Encodage réponses Es'!AP28="","",'Encodage réponses Es'!AP28)</f>
      </c>
      <c r="CQ29" s="167">
        <f>IF('Encodage réponses Es'!AQ28="","",'Encodage réponses Es'!AQ28)</f>
      </c>
      <c r="CR29" s="167">
        <f>IF('Encodage réponses Es'!AR28="","",'Encodage réponses Es'!AR28)</f>
      </c>
      <c r="CS29" s="167">
        <f>IF('Encodage réponses Es'!AS28="","",'Encodage réponses Es'!AS28)</f>
      </c>
      <c r="CT29" s="167">
        <f>IF('Encodage réponses Es'!AT28="","",'Encodage réponses Es'!AT28)</f>
      </c>
      <c r="CU29" s="167">
        <f>IF('Encodage réponses Es'!AU28="","",'Encodage réponses Es'!AU28)</f>
      </c>
      <c r="CV29" s="358">
        <f t="shared" si="24"/>
      </c>
      <c r="CW29" s="359"/>
      <c r="CX29" s="167">
        <f>IF('Encodage réponses Es'!AV28="","",'Encodage réponses Es'!AV28)</f>
      </c>
      <c r="CY29" s="167">
        <f>IF('Encodage réponses Es'!AW28="","",'Encodage réponses Es'!AW28)</f>
      </c>
      <c r="CZ29" s="167">
        <f>IF('Encodage réponses Es'!AX28="","",'Encodage réponses Es'!AX28)</f>
      </c>
      <c r="DA29" s="167">
        <f>IF('Encodage réponses Es'!AY28="","",'Encodage réponses Es'!AY28)</f>
      </c>
      <c r="DB29" s="167">
        <f>IF('Encodage réponses Es'!AZ28="","",'Encodage réponses Es'!AZ28)</f>
      </c>
      <c r="DC29" s="167">
        <f>IF('Encodage réponses Es'!BA28="","",'Encodage réponses Es'!BA28)</f>
      </c>
      <c r="DD29" s="167">
        <f>IF('Encodage réponses Es'!BB28="","",'Encodage réponses Es'!BB28)</f>
      </c>
      <c r="DE29" s="358">
        <f t="shared" si="25"/>
      </c>
      <c r="DF29" s="359"/>
      <c r="DG29" s="167">
        <f>IF('Encodage réponses Es'!BC28="","",'Encodage réponses Es'!BC28)</f>
      </c>
      <c r="DH29" s="167">
        <f>IF('Encodage réponses Es'!BD28="","",'Encodage réponses Es'!BD28)</f>
      </c>
      <c r="DI29" s="167">
        <f>IF('Encodage réponses Es'!BE28="","",'Encodage réponses Es'!BE28)</f>
      </c>
      <c r="DJ29" s="167">
        <f>IF('Encodage réponses Es'!BF28="","",'Encodage réponses Es'!BF28)</f>
      </c>
      <c r="DK29" s="167">
        <f>IF('Encodage réponses Es'!BG28="","",'Encodage réponses Es'!BG28)</f>
      </c>
      <c r="DL29" s="167">
        <f>IF('Encodage réponses Es'!BH28="","",'Encodage réponses Es'!BH28)</f>
      </c>
      <c r="DM29" s="167">
        <f>IF('Encodage réponses Es'!BI28="","",'Encodage réponses Es'!BI28)</f>
      </c>
      <c r="DN29" s="167">
        <f>IF('Encodage réponses Es'!BJ28="","",'Encodage réponses Es'!BJ28)</f>
      </c>
      <c r="DO29" s="167">
        <f>IF('Encodage réponses Es'!BK28="","",'Encodage réponses Es'!BK28)</f>
      </c>
      <c r="DP29" s="167">
        <f>IF('Encodage réponses Es'!BL28="","",'Encodage réponses Es'!BL28)</f>
      </c>
      <c r="DQ29" s="167">
        <f>IF('Encodage réponses Es'!BM28="","",'Encodage réponses Es'!BM28)</f>
      </c>
      <c r="DR29" s="167">
        <f>IF('Encodage réponses Es'!BN28="","",'Encodage réponses Es'!BN28)</f>
      </c>
      <c r="DS29" s="167">
        <f>IF('Encodage réponses Es'!BO28="","",'Encodage réponses Es'!BO28)</f>
      </c>
      <c r="DT29" s="167">
        <f>IF('Encodage réponses Es'!BP28="","",'Encodage réponses Es'!BP28)</f>
      </c>
      <c r="DU29" s="330">
        <f t="shared" si="26"/>
      </c>
      <c r="DV29" s="331"/>
    </row>
    <row r="30" spans="1:126" ht="11.25" customHeight="1">
      <c r="A30" s="181"/>
      <c r="B30"/>
      <c r="C30" s="278">
        <f>IF('Encodage réponses Es'!C29="","",'Encodage réponses Es'!C29)</f>
        <v>27</v>
      </c>
      <c r="D30" s="340"/>
      <c r="E30" s="291">
        <f t="shared" si="1"/>
      </c>
      <c r="F30" s="290">
        <f t="shared" si="2"/>
      </c>
      <c r="G30" s="322"/>
      <c r="H30" s="291">
        <f t="shared" si="3"/>
      </c>
      <c r="I30" s="29"/>
      <c r="J30" s="291">
        <f t="shared" si="4"/>
      </c>
      <c r="K30" s="290">
        <f t="shared" si="5"/>
      </c>
      <c r="L30" s="291">
        <f t="shared" si="6"/>
      </c>
      <c r="M30" s="290">
        <f t="shared" si="7"/>
      </c>
      <c r="N30" s="291">
        <f t="shared" si="8"/>
      </c>
      <c r="O30" s="290">
        <f t="shared" si="9"/>
      </c>
      <c r="P30" s="291">
        <f>IF(DU30="","",Résultats!DU30)</f>
      </c>
      <c r="Q30" s="292">
        <f t="shared" si="10"/>
      </c>
      <c r="R30" s="181"/>
      <c r="S30" s="284"/>
      <c r="T30" s="186">
        <f>IF('Encodage réponses Es'!E29="","",'Encodage réponses Es'!E29)</f>
      </c>
      <c r="U30" s="100">
        <f>IF('Encodage réponses Es'!J29="","",'Encodage réponses Es'!J29)</f>
      </c>
      <c r="V30" s="100">
        <f>IF('Encodage réponses Es'!AP29="","",'Encodage réponses Es'!AP29)</f>
      </c>
      <c r="W30" s="358">
        <f t="shared" si="11"/>
      </c>
      <c r="X30" s="359"/>
      <c r="Y30" s="167">
        <f>IF('Encodage réponses Es'!H29="","",'Encodage réponses Es'!H29)</f>
      </c>
      <c r="Z30" s="167">
        <f>IF('Encodage réponses Es'!I29="","",'Encodage réponses Es'!I29)</f>
      </c>
      <c r="AA30" s="167">
        <f>IF('Encodage réponses Es'!J29="","",'Encodage réponses Es'!J29)</f>
      </c>
      <c r="AB30" s="167">
        <f>IF('Encodage réponses Es'!K29="","",'Encodage réponses Es'!K29)</f>
      </c>
      <c r="AC30" s="167">
        <f>IF('Encodage réponses Es'!L29="","",'Encodage réponses Es'!L29)</f>
      </c>
      <c r="AD30" s="167">
        <f>IF('Encodage réponses Es'!Q29="","",'Encodage réponses Es'!Q29)</f>
      </c>
      <c r="AE30" s="167">
        <f>IF('Encodage réponses Es'!R29="","",'Encodage réponses Es'!R29)</f>
      </c>
      <c r="AF30" s="167">
        <f>IF('Encodage réponses Es'!S29="","",'Encodage réponses Es'!S29)</f>
      </c>
      <c r="AG30" s="167">
        <f>IF('Encodage réponses Es'!T29="","",'Encodage réponses Es'!T29)</f>
      </c>
      <c r="AH30" s="167">
        <f>IF('Encodage réponses Es'!U29="","",'Encodage réponses Es'!U29)</f>
      </c>
      <c r="AI30" s="167">
        <f>IF('Encodage réponses Es'!V29="","",'Encodage réponses Es'!V29)</f>
      </c>
      <c r="AJ30" s="167">
        <f>IF('Encodage réponses Es'!W29="","",'Encodage réponses Es'!W29)</f>
      </c>
      <c r="AK30" s="167">
        <f>IF('Encodage réponses Es'!X29="","",'Encodage réponses Es'!X29)</f>
      </c>
      <c r="AL30" s="167">
        <f>IF('Encodage réponses Es'!Y29="","",'Encodage réponses Es'!Y29)</f>
      </c>
      <c r="AM30" s="167">
        <f>IF('Encodage réponses Es'!Z29="","",'Encodage réponses Es'!Z29)</f>
      </c>
      <c r="AN30" s="167">
        <f>IF('Encodage réponses Es'!AA29="","",'Encodage réponses Es'!AA29)</f>
      </c>
      <c r="AO30" s="358">
        <f t="shared" si="12"/>
      </c>
      <c r="AP30" s="359"/>
      <c r="AQ30" s="55">
        <f t="shared" si="27"/>
      </c>
      <c r="AR30" s="55">
        <f t="shared" si="13"/>
      </c>
      <c r="AS30" s="241">
        <f>IF('Encodage réponses Es'!M29="","",'Encodage réponses Es'!M29)</f>
      </c>
      <c r="AT30" s="167">
        <f>IF('Encodage réponses Es'!N29="","",'Encodage réponses Es'!N29)</f>
      </c>
      <c r="AU30" s="167">
        <f>IF('Encodage réponses Es'!O29="","",'Encodage réponses Es'!O29)</f>
      </c>
      <c r="AV30" s="167">
        <f>IF('Encodage réponses Es'!P29="","",'Encodage réponses Es'!P29)</f>
      </c>
      <c r="AW30" s="358">
        <f t="shared" si="14"/>
      </c>
      <c r="AX30" s="359"/>
      <c r="AY30" s="167">
        <f>IF('Encodage réponses Es'!AB29="","",'Encodage réponses Es'!AB29)</f>
      </c>
      <c r="AZ30" s="167">
        <f>IF('Encodage réponses Es'!AC29="","",'Encodage réponses Es'!AC29)</f>
      </c>
      <c r="BA30" s="167">
        <f>IF('Encodage réponses Es'!AD29="","",'Encodage réponses Es'!AD29)</f>
      </c>
      <c r="BB30" s="167">
        <f>IF('Encodage réponses Es'!AE29="","",'Encodage réponses Es'!AE29)</f>
      </c>
      <c r="BC30" s="167">
        <f>IF('Encodage réponses Es'!AF29="","",'Encodage réponses Es'!AF29)</f>
      </c>
      <c r="BD30" s="167">
        <f>IF('Encodage réponses Es'!AG29="","",'Encodage réponses Es'!AG29)</f>
      </c>
      <c r="BE30" s="167">
        <f>IF('Encodage réponses Es'!AH29="","",'Encodage réponses Es'!AH29)</f>
      </c>
      <c r="BF30" s="167">
        <f>IF('Encodage réponses Es'!AI29="","",'Encodage réponses Es'!AI29)</f>
      </c>
      <c r="BG30" s="55">
        <f t="shared" si="15"/>
      </c>
      <c r="BH30" s="221">
        <f t="shared" si="16"/>
      </c>
      <c r="BI30" s="150">
        <f t="shared" si="17"/>
      </c>
      <c r="BJ30" s="54">
        <f t="shared" si="18"/>
      </c>
      <c r="BK30" s="167">
        <f>IF('Encodage réponses Es'!BQ29="","",'Encodage réponses Es'!BQ29)</f>
      </c>
      <c r="BL30" s="167">
        <f>IF('Encodage réponses Es'!BR29="","",'Encodage réponses Es'!BR29)</f>
      </c>
      <c r="BM30" s="167">
        <f>IF('Encodage réponses Es'!BS29="","",'Encodage réponses Es'!BS29)</f>
      </c>
      <c r="BN30" s="167">
        <f>IF('Encodage réponses Es'!BT29="","",'Encodage réponses Es'!BT29)</f>
      </c>
      <c r="BO30" s="289"/>
      <c r="BP30" s="358">
        <f t="shared" si="19"/>
      </c>
      <c r="BQ30" s="359"/>
      <c r="BR30" s="167">
        <f>IF('Encodage réponses Es'!BV29="","",'Encodage réponses Es'!BV29)</f>
      </c>
      <c r="BS30" s="167">
        <f>IF('Encodage réponses Es'!BW29="","",'Encodage réponses Es'!BW29)</f>
      </c>
      <c r="BT30" s="167">
        <f>IF('Encodage réponses Es'!BX29="","",'Encodage réponses Es'!BX29)</f>
      </c>
      <c r="BU30" s="167">
        <f>IF('Encodage réponses Es'!BY29="","",'Encodage réponses Es'!BY29)</f>
      </c>
      <c r="BV30" s="167">
        <f>IF('Encodage réponses Es'!BZ29="","",'Encodage réponses Es'!BZ29)</f>
      </c>
      <c r="BW30" s="251">
        <f t="shared" si="20"/>
      </c>
      <c r="BX30" s="221">
        <f t="shared" si="21"/>
      </c>
      <c r="BY30" s="167">
        <f>IF('Encodage réponses Es'!CF29="","",'Encodage réponses Es'!CF29)</f>
      </c>
      <c r="BZ30" s="167">
        <f>IF('Encodage réponses Es'!CG29="","",'Encodage réponses Es'!CG29)</f>
      </c>
      <c r="CA30" s="358">
        <f t="shared" si="22"/>
      </c>
      <c r="CB30" s="359"/>
      <c r="CC30" s="167">
        <f>IF('Encodage réponses Es'!CA29="","",'Encodage réponses Es'!CA29)</f>
      </c>
      <c r="CD30" s="167">
        <f>IF('Encodage réponses Es'!CB29="","",'Encodage réponses Es'!CB29)</f>
      </c>
      <c r="CE30" s="167">
        <f>IF('Encodage réponses Es'!CC29="","",'Encodage réponses Es'!CC29)</f>
      </c>
      <c r="CF30" s="167">
        <f>IF('Encodage réponses Es'!CD29="","",'Encodage réponses Es'!CD29)</f>
      </c>
      <c r="CG30" s="167">
        <f>IF('Encodage réponses Es'!CE29="","",'Encodage réponses Es'!CE29)</f>
      </c>
      <c r="CH30" s="330">
        <f t="shared" si="23"/>
      </c>
      <c r="CI30" s="331"/>
      <c r="CJ30" s="167">
        <f>IF('Encodage réponses Es'!AJ29="","",'Encodage réponses Es'!AJ29)</f>
      </c>
      <c r="CK30" s="167">
        <f>IF('Encodage réponses Es'!AK29="","",'Encodage réponses Es'!AK29)</f>
      </c>
      <c r="CL30" s="167">
        <f>IF('Encodage réponses Es'!AL29="","",'Encodage réponses Es'!AL29)</f>
      </c>
      <c r="CM30" s="167">
        <f>IF('Encodage réponses Es'!AM29="","",'Encodage réponses Es'!AM29)</f>
      </c>
      <c r="CN30" s="167">
        <f>IF('Encodage réponses Es'!AN29="","",'Encodage réponses Es'!AN29)</f>
      </c>
      <c r="CO30" s="167">
        <f>IF('Encodage réponses Es'!AO29="","",'Encodage réponses Es'!AO29)</f>
      </c>
      <c r="CP30" s="167">
        <f>IF('Encodage réponses Es'!AP29="","",'Encodage réponses Es'!AP29)</f>
      </c>
      <c r="CQ30" s="167">
        <f>IF('Encodage réponses Es'!AQ29="","",'Encodage réponses Es'!AQ29)</f>
      </c>
      <c r="CR30" s="167">
        <f>IF('Encodage réponses Es'!AR29="","",'Encodage réponses Es'!AR29)</f>
      </c>
      <c r="CS30" s="167">
        <f>IF('Encodage réponses Es'!AS29="","",'Encodage réponses Es'!AS29)</f>
      </c>
      <c r="CT30" s="167">
        <f>IF('Encodage réponses Es'!AT29="","",'Encodage réponses Es'!AT29)</f>
      </c>
      <c r="CU30" s="167">
        <f>IF('Encodage réponses Es'!AU29="","",'Encodage réponses Es'!AU29)</f>
      </c>
      <c r="CV30" s="358">
        <f t="shared" si="24"/>
      </c>
      <c r="CW30" s="359"/>
      <c r="CX30" s="167">
        <f>IF('Encodage réponses Es'!AV29="","",'Encodage réponses Es'!AV29)</f>
      </c>
      <c r="CY30" s="167">
        <f>IF('Encodage réponses Es'!AW29="","",'Encodage réponses Es'!AW29)</f>
      </c>
      <c r="CZ30" s="167">
        <f>IF('Encodage réponses Es'!AX29="","",'Encodage réponses Es'!AX29)</f>
      </c>
      <c r="DA30" s="167">
        <f>IF('Encodage réponses Es'!AY29="","",'Encodage réponses Es'!AY29)</f>
      </c>
      <c r="DB30" s="167">
        <f>IF('Encodage réponses Es'!AZ29="","",'Encodage réponses Es'!AZ29)</f>
      </c>
      <c r="DC30" s="167">
        <f>IF('Encodage réponses Es'!BA29="","",'Encodage réponses Es'!BA29)</f>
      </c>
      <c r="DD30" s="167">
        <f>IF('Encodage réponses Es'!BB29="","",'Encodage réponses Es'!BB29)</f>
      </c>
      <c r="DE30" s="358">
        <f t="shared" si="25"/>
      </c>
      <c r="DF30" s="359"/>
      <c r="DG30" s="167">
        <f>IF('Encodage réponses Es'!BC29="","",'Encodage réponses Es'!BC29)</f>
      </c>
      <c r="DH30" s="167">
        <f>IF('Encodage réponses Es'!BD29="","",'Encodage réponses Es'!BD29)</f>
      </c>
      <c r="DI30" s="167">
        <f>IF('Encodage réponses Es'!BE29="","",'Encodage réponses Es'!BE29)</f>
      </c>
      <c r="DJ30" s="167">
        <f>IF('Encodage réponses Es'!BF29="","",'Encodage réponses Es'!BF29)</f>
      </c>
      <c r="DK30" s="167">
        <f>IF('Encodage réponses Es'!BG29="","",'Encodage réponses Es'!BG29)</f>
      </c>
      <c r="DL30" s="167">
        <f>IF('Encodage réponses Es'!BH29="","",'Encodage réponses Es'!BH29)</f>
      </c>
      <c r="DM30" s="167">
        <f>IF('Encodage réponses Es'!BI29="","",'Encodage réponses Es'!BI29)</f>
      </c>
      <c r="DN30" s="167">
        <f>IF('Encodage réponses Es'!BJ29="","",'Encodage réponses Es'!BJ29)</f>
      </c>
      <c r="DO30" s="167">
        <f>IF('Encodage réponses Es'!BK29="","",'Encodage réponses Es'!BK29)</f>
      </c>
      <c r="DP30" s="167">
        <f>IF('Encodage réponses Es'!BL29="","",'Encodage réponses Es'!BL29)</f>
      </c>
      <c r="DQ30" s="167">
        <f>IF('Encodage réponses Es'!BM29="","",'Encodage réponses Es'!BM29)</f>
      </c>
      <c r="DR30" s="167">
        <f>IF('Encodage réponses Es'!BN29="","",'Encodage réponses Es'!BN29)</f>
      </c>
      <c r="DS30" s="167">
        <f>IF('Encodage réponses Es'!BO29="","",'Encodage réponses Es'!BO29)</f>
      </c>
      <c r="DT30" s="167">
        <f>IF('Encodage réponses Es'!BP29="","",'Encodage réponses Es'!BP29)</f>
      </c>
      <c r="DU30" s="330">
        <f t="shared" si="26"/>
      </c>
      <c r="DV30" s="331"/>
    </row>
    <row r="31" spans="1:126" ht="11.25" customHeight="1">
      <c r="A31" s="181"/>
      <c r="B31"/>
      <c r="C31" s="278">
        <f>IF('Encodage réponses Es'!C30="","",'Encodage réponses Es'!C30)</f>
        <v>28</v>
      </c>
      <c r="D31" s="340"/>
      <c r="E31" s="291">
        <f t="shared" si="1"/>
      </c>
      <c r="F31" s="290">
        <f t="shared" si="2"/>
      </c>
      <c r="G31" s="322"/>
      <c r="H31" s="291">
        <f t="shared" si="3"/>
      </c>
      <c r="I31" s="29"/>
      <c r="J31" s="291">
        <f t="shared" si="4"/>
      </c>
      <c r="K31" s="290">
        <f t="shared" si="5"/>
      </c>
      <c r="L31" s="291">
        <f t="shared" si="6"/>
      </c>
      <c r="M31" s="290">
        <f t="shared" si="7"/>
      </c>
      <c r="N31" s="291">
        <f t="shared" si="8"/>
      </c>
      <c r="O31" s="290">
        <f t="shared" si="9"/>
      </c>
      <c r="P31" s="291">
        <f>IF(DU31="","",Résultats!DU31)</f>
      </c>
      <c r="Q31" s="292">
        <f t="shared" si="10"/>
      </c>
      <c r="R31" s="181"/>
      <c r="S31" s="284"/>
      <c r="T31" s="186">
        <f>IF('Encodage réponses Es'!E30="","",'Encodage réponses Es'!E30)</f>
      </c>
      <c r="U31" s="100">
        <f>IF('Encodage réponses Es'!J30="","",'Encodage réponses Es'!J30)</f>
      </c>
      <c r="V31" s="100">
        <f>IF('Encodage réponses Es'!AP30="","",'Encodage réponses Es'!AP30)</f>
      </c>
      <c r="W31" s="358">
        <f t="shared" si="11"/>
      </c>
      <c r="X31" s="359"/>
      <c r="Y31" s="167">
        <f>IF('Encodage réponses Es'!H30="","",'Encodage réponses Es'!H30)</f>
      </c>
      <c r="Z31" s="167">
        <f>IF('Encodage réponses Es'!I30="","",'Encodage réponses Es'!I30)</f>
      </c>
      <c r="AA31" s="167">
        <f>IF('Encodage réponses Es'!J30="","",'Encodage réponses Es'!J30)</f>
      </c>
      <c r="AB31" s="167">
        <f>IF('Encodage réponses Es'!K30="","",'Encodage réponses Es'!K30)</f>
      </c>
      <c r="AC31" s="167">
        <f>IF('Encodage réponses Es'!L30="","",'Encodage réponses Es'!L30)</f>
      </c>
      <c r="AD31" s="167">
        <f>IF('Encodage réponses Es'!Q30="","",'Encodage réponses Es'!Q30)</f>
      </c>
      <c r="AE31" s="167">
        <f>IF('Encodage réponses Es'!R30="","",'Encodage réponses Es'!R30)</f>
      </c>
      <c r="AF31" s="167">
        <f>IF('Encodage réponses Es'!S30="","",'Encodage réponses Es'!S30)</f>
      </c>
      <c r="AG31" s="167">
        <f>IF('Encodage réponses Es'!T30="","",'Encodage réponses Es'!T30)</f>
      </c>
      <c r="AH31" s="167">
        <f>IF('Encodage réponses Es'!U30="","",'Encodage réponses Es'!U30)</f>
      </c>
      <c r="AI31" s="167">
        <f>IF('Encodage réponses Es'!V30="","",'Encodage réponses Es'!V30)</f>
      </c>
      <c r="AJ31" s="167">
        <f>IF('Encodage réponses Es'!W30="","",'Encodage réponses Es'!W30)</f>
      </c>
      <c r="AK31" s="167">
        <f>IF('Encodage réponses Es'!X30="","",'Encodage réponses Es'!X30)</f>
      </c>
      <c r="AL31" s="167">
        <f>IF('Encodage réponses Es'!Y30="","",'Encodage réponses Es'!Y30)</f>
      </c>
      <c r="AM31" s="167">
        <f>IF('Encodage réponses Es'!Z30="","",'Encodage réponses Es'!Z30)</f>
      </c>
      <c r="AN31" s="167">
        <f>IF('Encodage réponses Es'!AA30="","",'Encodage réponses Es'!AA30)</f>
      </c>
      <c r="AO31" s="358">
        <f t="shared" si="12"/>
      </c>
      <c r="AP31" s="359"/>
      <c r="AQ31" s="55">
        <f t="shared" si="27"/>
      </c>
      <c r="AR31" s="55">
        <f t="shared" si="13"/>
      </c>
      <c r="AS31" s="241">
        <f>IF('Encodage réponses Es'!M30="","",'Encodage réponses Es'!M30)</f>
      </c>
      <c r="AT31" s="167">
        <f>IF('Encodage réponses Es'!N30="","",'Encodage réponses Es'!N30)</f>
      </c>
      <c r="AU31" s="167">
        <f>IF('Encodage réponses Es'!O30="","",'Encodage réponses Es'!O30)</f>
      </c>
      <c r="AV31" s="167">
        <f>IF('Encodage réponses Es'!P30="","",'Encodage réponses Es'!P30)</f>
      </c>
      <c r="AW31" s="358">
        <f t="shared" si="14"/>
      </c>
      <c r="AX31" s="359"/>
      <c r="AY31" s="167">
        <f>IF('Encodage réponses Es'!AB30="","",'Encodage réponses Es'!AB30)</f>
      </c>
      <c r="AZ31" s="167">
        <f>IF('Encodage réponses Es'!AC30="","",'Encodage réponses Es'!AC30)</f>
      </c>
      <c r="BA31" s="167">
        <f>IF('Encodage réponses Es'!AD30="","",'Encodage réponses Es'!AD30)</f>
      </c>
      <c r="BB31" s="167">
        <f>IF('Encodage réponses Es'!AE30="","",'Encodage réponses Es'!AE30)</f>
      </c>
      <c r="BC31" s="167">
        <f>IF('Encodage réponses Es'!AF30="","",'Encodage réponses Es'!AF30)</f>
      </c>
      <c r="BD31" s="167">
        <f>IF('Encodage réponses Es'!AG30="","",'Encodage réponses Es'!AG30)</f>
      </c>
      <c r="BE31" s="167">
        <f>IF('Encodage réponses Es'!AH30="","",'Encodage réponses Es'!AH30)</f>
      </c>
      <c r="BF31" s="167">
        <f>IF('Encodage réponses Es'!AI30="","",'Encodage réponses Es'!AI30)</f>
      </c>
      <c r="BG31" s="55">
        <f t="shared" si="15"/>
      </c>
      <c r="BH31" s="221">
        <f t="shared" si="16"/>
      </c>
      <c r="BI31" s="150">
        <f t="shared" si="17"/>
      </c>
      <c r="BJ31" s="54">
        <f t="shared" si="18"/>
      </c>
      <c r="BK31" s="167">
        <f>IF('Encodage réponses Es'!BQ30="","",'Encodage réponses Es'!BQ30)</f>
      </c>
      <c r="BL31" s="167">
        <f>IF('Encodage réponses Es'!BR30="","",'Encodage réponses Es'!BR30)</f>
      </c>
      <c r="BM31" s="167">
        <f>IF('Encodage réponses Es'!BS30="","",'Encodage réponses Es'!BS30)</f>
      </c>
      <c r="BN31" s="167">
        <f>IF('Encodage réponses Es'!BT30="","",'Encodage réponses Es'!BT30)</f>
      </c>
      <c r="BO31" s="289"/>
      <c r="BP31" s="358">
        <f t="shared" si="19"/>
      </c>
      <c r="BQ31" s="359"/>
      <c r="BR31" s="167">
        <f>IF('Encodage réponses Es'!BV30="","",'Encodage réponses Es'!BV30)</f>
      </c>
      <c r="BS31" s="167">
        <f>IF('Encodage réponses Es'!BW30="","",'Encodage réponses Es'!BW30)</f>
      </c>
      <c r="BT31" s="167">
        <f>IF('Encodage réponses Es'!BX30="","",'Encodage réponses Es'!BX30)</f>
      </c>
      <c r="BU31" s="167">
        <f>IF('Encodage réponses Es'!BY30="","",'Encodage réponses Es'!BY30)</f>
      </c>
      <c r="BV31" s="167">
        <f>IF('Encodage réponses Es'!BZ30="","",'Encodage réponses Es'!BZ30)</f>
      </c>
      <c r="BW31" s="251">
        <f t="shared" si="20"/>
      </c>
      <c r="BX31" s="221">
        <f t="shared" si="21"/>
      </c>
      <c r="BY31" s="167">
        <f>IF('Encodage réponses Es'!CF30="","",'Encodage réponses Es'!CF30)</f>
      </c>
      <c r="BZ31" s="167">
        <f>IF('Encodage réponses Es'!CG30="","",'Encodage réponses Es'!CG30)</f>
      </c>
      <c r="CA31" s="358">
        <f t="shared" si="22"/>
      </c>
      <c r="CB31" s="359"/>
      <c r="CC31" s="167">
        <f>IF('Encodage réponses Es'!CA30="","",'Encodage réponses Es'!CA30)</f>
      </c>
      <c r="CD31" s="167">
        <f>IF('Encodage réponses Es'!CB30="","",'Encodage réponses Es'!CB30)</f>
      </c>
      <c r="CE31" s="167">
        <f>IF('Encodage réponses Es'!CC30="","",'Encodage réponses Es'!CC30)</f>
      </c>
      <c r="CF31" s="167">
        <f>IF('Encodage réponses Es'!CD30="","",'Encodage réponses Es'!CD30)</f>
      </c>
      <c r="CG31" s="167">
        <f>IF('Encodage réponses Es'!CE30="","",'Encodage réponses Es'!CE30)</f>
      </c>
      <c r="CH31" s="330">
        <f t="shared" si="23"/>
      </c>
      <c r="CI31" s="331"/>
      <c r="CJ31" s="167">
        <f>IF('Encodage réponses Es'!AJ30="","",'Encodage réponses Es'!AJ30)</f>
      </c>
      <c r="CK31" s="167">
        <f>IF('Encodage réponses Es'!AK30="","",'Encodage réponses Es'!AK30)</f>
      </c>
      <c r="CL31" s="167">
        <f>IF('Encodage réponses Es'!AL30="","",'Encodage réponses Es'!AL30)</f>
      </c>
      <c r="CM31" s="167">
        <f>IF('Encodage réponses Es'!AM30="","",'Encodage réponses Es'!AM30)</f>
      </c>
      <c r="CN31" s="167">
        <f>IF('Encodage réponses Es'!AN30="","",'Encodage réponses Es'!AN30)</f>
      </c>
      <c r="CO31" s="167">
        <f>IF('Encodage réponses Es'!AO30="","",'Encodage réponses Es'!AO30)</f>
      </c>
      <c r="CP31" s="167">
        <f>IF('Encodage réponses Es'!AP30="","",'Encodage réponses Es'!AP30)</f>
      </c>
      <c r="CQ31" s="167">
        <f>IF('Encodage réponses Es'!AQ30="","",'Encodage réponses Es'!AQ30)</f>
      </c>
      <c r="CR31" s="167">
        <f>IF('Encodage réponses Es'!AR30="","",'Encodage réponses Es'!AR30)</f>
      </c>
      <c r="CS31" s="167">
        <f>IF('Encodage réponses Es'!AS30="","",'Encodage réponses Es'!AS30)</f>
      </c>
      <c r="CT31" s="167">
        <f>IF('Encodage réponses Es'!AT30="","",'Encodage réponses Es'!AT30)</f>
      </c>
      <c r="CU31" s="167">
        <f>IF('Encodage réponses Es'!AU30="","",'Encodage réponses Es'!AU30)</f>
      </c>
      <c r="CV31" s="358">
        <f t="shared" si="24"/>
      </c>
      <c r="CW31" s="359"/>
      <c r="CX31" s="167">
        <f>IF('Encodage réponses Es'!AV30="","",'Encodage réponses Es'!AV30)</f>
      </c>
      <c r="CY31" s="167">
        <f>IF('Encodage réponses Es'!AW30="","",'Encodage réponses Es'!AW30)</f>
      </c>
      <c r="CZ31" s="167">
        <f>IF('Encodage réponses Es'!AX30="","",'Encodage réponses Es'!AX30)</f>
      </c>
      <c r="DA31" s="167">
        <f>IF('Encodage réponses Es'!AY30="","",'Encodage réponses Es'!AY30)</f>
      </c>
      <c r="DB31" s="167">
        <f>IF('Encodage réponses Es'!AZ30="","",'Encodage réponses Es'!AZ30)</f>
      </c>
      <c r="DC31" s="167">
        <f>IF('Encodage réponses Es'!BA30="","",'Encodage réponses Es'!BA30)</f>
      </c>
      <c r="DD31" s="167">
        <f>IF('Encodage réponses Es'!BB30="","",'Encodage réponses Es'!BB30)</f>
      </c>
      <c r="DE31" s="358">
        <f t="shared" si="25"/>
      </c>
      <c r="DF31" s="359"/>
      <c r="DG31" s="167">
        <f>IF('Encodage réponses Es'!BC30="","",'Encodage réponses Es'!BC30)</f>
      </c>
      <c r="DH31" s="167">
        <f>IF('Encodage réponses Es'!BD30="","",'Encodage réponses Es'!BD30)</f>
      </c>
      <c r="DI31" s="167">
        <f>IF('Encodage réponses Es'!BE30="","",'Encodage réponses Es'!BE30)</f>
      </c>
      <c r="DJ31" s="167">
        <f>IF('Encodage réponses Es'!BF30="","",'Encodage réponses Es'!BF30)</f>
      </c>
      <c r="DK31" s="167">
        <f>IF('Encodage réponses Es'!BG30="","",'Encodage réponses Es'!BG30)</f>
      </c>
      <c r="DL31" s="167">
        <f>IF('Encodage réponses Es'!BH30="","",'Encodage réponses Es'!BH30)</f>
      </c>
      <c r="DM31" s="167">
        <f>IF('Encodage réponses Es'!BI30="","",'Encodage réponses Es'!BI30)</f>
      </c>
      <c r="DN31" s="167">
        <f>IF('Encodage réponses Es'!BJ30="","",'Encodage réponses Es'!BJ30)</f>
      </c>
      <c r="DO31" s="167">
        <f>IF('Encodage réponses Es'!BK30="","",'Encodage réponses Es'!BK30)</f>
      </c>
      <c r="DP31" s="167">
        <f>IF('Encodage réponses Es'!BL30="","",'Encodage réponses Es'!BL30)</f>
      </c>
      <c r="DQ31" s="167">
        <f>IF('Encodage réponses Es'!BM30="","",'Encodage réponses Es'!BM30)</f>
      </c>
      <c r="DR31" s="167">
        <f>IF('Encodage réponses Es'!BN30="","",'Encodage réponses Es'!BN30)</f>
      </c>
      <c r="DS31" s="167">
        <f>IF('Encodage réponses Es'!BO30="","",'Encodage réponses Es'!BO30)</f>
      </c>
      <c r="DT31" s="167">
        <f>IF('Encodage réponses Es'!BP30="","",'Encodage réponses Es'!BP30)</f>
      </c>
      <c r="DU31" s="330">
        <f t="shared" si="26"/>
      </c>
      <c r="DV31" s="331"/>
    </row>
    <row r="32" spans="1:126" ht="11.25" customHeight="1">
      <c r="A32" s="181"/>
      <c r="B32"/>
      <c r="C32" s="278">
        <f>IF('Encodage réponses Es'!C31="","",'Encodage réponses Es'!C31)</f>
        <v>29</v>
      </c>
      <c r="D32" s="340"/>
      <c r="E32" s="291">
        <f t="shared" si="1"/>
      </c>
      <c r="F32" s="290">
        <f t="shared" si="2"/>
      </c>
      <c r="G32" s="322"/>
      <c r="H32" s="291">
        <f t="shared" si="3"/>
      </c>
      <c r="I32" s="29"/>
      <c r="J32" s="291">
        <f t="shared" si="4"/>
      </c>
      <c r="K32" s="290">
        <f t="shared" si="5"/>
      </c>
      <c r="L32" s="291">
        <f t="shared" si="6"/>
      </c>
      <c r="M32" s="290">
        <f t="shared" si="7"/>
      </c>
      <c r="N32" s="291">
        <f t="shared" si="8"/>
      </c>
      <c r="O32" s="290">
        <f t="shared" si="9"/>
      </c>
      <c r="P32" s="291">
        <f>IF(DU32="","",Résultats!DU32)</f>
      </c>
      <c r="Q32" s="292">
        <f t="shared" si="10"/>
      </c>
      <c r="R32" s="181"/>
      <c r="S32" s="284"/>
      <c r="T32" s="186">
        <f>IF('Encodage réponses Es'!E31="","",'Encodage réponses Es'!E31)</f>
      </c>
      <c r="U32" s="100">
        <f>IF('Encodage réponses Es'!J31="","",'Encodage réponses Es'!J31)</f>
      </c>
      <c r="V32" s="100">
        <f>IF('Encodage réponses Es'!AP31="","",'Encodage réponses Es'!AP31)</f>
      </c>
      <c r="W32" s="358">
        <f t="shared" si="11"/>
      </c>
      <c r="X32" s="359"/>
      <c r="Y32" s="167">
        <f>IF('Encodage réponses Es'!H31="","",'Encodage réponses Es'!H31)</f>
      </c>
      <c r="Z32" s="167">
        <f>IF('Encodage réponses Es'!I31="","",'Encodage réponses Es'!I31)</f>
      </c>
      <c r="AA32" s="167">
        <f>IF('Encodage réponses Es'!J31="","",'Encodage réponses Es'!J31)</f>
      </c>
      <c r="AB32" s="167">
        <f>IF('Encodage réponses Es'!K31="","",'Encodage réponses Es'!K31)</f>
      </c>
      <c r="AC32" s="167">
        <f>IF('Encodage réponses Es'!L31="","",'Encodage réponses Es'!L31)</f>
      </c>
      <c r="AD32" s="167">
        <f>IF('Encodage réponses Es'!Q31="","",'Encodage réponses Es'!Q31)</f>
      </c>
      <c r="AE32" s="167">
        <f>IF('Encodage réponses Es'!R31="","",'Encodage réponses Es'!R31)</f>
      </c>
      <c r="AF32" s="167">
        <f>IF('Encodage réponses Es'!S31="","",'Encodage réponses Es'!S31)</f>
      </c>
      <c r="AG32" s="167">
        <f>IF('Encodage réponses Es'!T31="","",'Encodage réponses Es'!T31)</f>
      </c>
      <c r="AH32" s="167">
        <f>IF('Encodage réponses Es'!U31="","",'Encodage réponses Es'!U31)</f>
      </c>
      <c r="AI32" s="167">
        <f>IF('Encodage réponses Es'!V31="","",'Encodage réponses Es'!V31)</f>
      </c>
      <c r="AJ32" s="167">
        <f>IF('Encodage réponses Es'!W31="","",'Encodage réponses Es'!W31)</f>
      </c>
      <c r="AK32" s="167">
        <f>IF('Encodage réponses Es'!X31="","",'Encodage réponses Es'!X31)</f>
      </c>
      <c r="AL32" s="167">
        <f>IF('Encodage réponses Es'!Y31="","",'Encodage réponses Es'!Y31)</f>
      </c>
      <c r="AM32" s="167">
        <f>IF('Encodage réponses Es'!Z31="","",'Encodage réponses Es'!Z31)</f>
      </c>
      <c r="AN32" s="167">
        <f>IF('Encodage réponses Es'!AA31="","",'Encodage réponses Es'!AA31)</f>
      </c>
      <c r="AO32" s="358">
        <f t="shared" si="12"/>
      </c>
      <c r="AP32" s="359"/>
      <c r="AQ32" s="55">
        <f t="shared" si="27"/>
      </c>
      <c r="AR32" s="55">
        <f t="shared" si="13"/>
      </c>
      <c r="AS32" s="241">
        <f>IF('Encodage réponses Es'!M31="","",'Encodage réponses Es'!M31)</f>
      </c>
      <c r="AT32" s="167">
        <f>IF('Encodage réponses Es'!N31="","",'Encodage réponses Es'!N31)</f>
      </c>
      <c r="AU32" s="167">
        <f>IF('Encodage réponses Es'!O31="","",'Encodage réponses Es'!O31)</f>
      </c>
      <c r="AV32" s="167">
        <f>IF('Encodage réponses Es'!P31="","",'Encodage réponses Es'!P31)</f>
      </c>
      <c r="AW32" s="358">
        <f t="shared" si="14"/>
      </c>
      <c r="AX32" s="359"/>
      <c r="AY32" s="167">
        <f>IF('Encodage réponses Es'!AB31="","",'Encodage réponses Es'!AB31)</f>
      </c>
      <c r="AZ32" s="167">
        <f>IF('Encodage réponses Es'!AC31="","",'Encodage réponses Es'!AC31)</f>
      </c>
      <c r="BA32" s="167">
        <f>IF('Encodage réponses Es'!AD31="","",'Encodage réponses Es'!AD31)</f>
      </c>
      <c r="BB32" s="167">
        <f>IF('Encodage réponses Es'!AE31="","",'Encodage réponses Es'!AE31)</f>
      </c>
      <c r="BC32" s="167">
        <f>IF('Encodage réponses Es'!AF31="","",'Encodage réponses Es'!AF31)</f>
      </c>
      <c r="BD32" s="167">
        <f>IF('Encodage réponses Es'!AG31="","",'Encodage réponses Es'!AG31)</f>
      </c>
      <c r="BE32" s="167">
        <f>IF('Encodage réponses Es'!AH31="","",'Encodage réponses Es'!AH31)</f>
      </c>
      <c r="BF32" s="167">
        <f>IF('Encodage réponses Es'!AI31="","",'Encodage réponses Es'!AI31)</f>
      </c>
      <c r="BG32" s="55">
        <f t="shared" si="15"/>
      </c>
      <c r="BH32" s="221">
        <f t="shared" si="16"/>
      </c>
      <c r="BI32" s="150">
        <f t="shared" si="17"/>
      </c>
      <c r="BJ32" s="54">
        <f t="shared" si="18"/>
      </c>
      <c r="BK32" s="167">
        <f>IF('Encodage réponses Es'!BQ31="","",'Encodage réponses Es'!BQ31)</f>
      </c>
      <c r="BL32" s="167">
        <f>IF('Encodage réponses Es'!BR31="","",'Encodage réponses Es'!BR31)</f>
      </c>
      <c r="BM32" s="167">
        <f>IF('Encodage réponses Es'!BS31="","",'Encodage réponses Es'!BS31)</f>
      </c>
      <c r="BN32" s="167">
        <f>IF('Encodage réponses Es'!BT31="","",'Encodage réponses Es'!BT31)</f>
      </c>
      <c r="BO32" s="289"/>
      <c r="BP32" s="358">
        <f t="shared" si="19"/>
      </c>
      <c r="BQ32" s="359"/>
      <c r="BR32" s="167">
        <f>IF('Encodage réponses Es'!BV31="","",'Encodage réponses Es'!BV31)</f>
      </c>
      <c r="BS32" s="167">
        <f>IF('Encodage réponses Es'!BW31="","",'Encodage réponses Es'!BW31)</f>
      </c>
      <c r="BT32" s="167">
        <f>IF('Encodage réponses Es'!BX31="","",'Encodage réponses Es'!BX31)</f>
      </c>
      <c r="BU32" s="167">
        <f>IF('Encodage réponses Es'!BY31="","",'Encodage réponses Es'!BY31)</f>
      </c>
      <c r="BV32" s="167">
        <f>IF('Encodage réponses Es'!BZ31="","",'Encodage réponses Es'!BZ31)</f>
      </c>
      <c r="BW32" s="251">
        <f t="shared" si="20"/>
      </c>
      <c r="BX32" s="221">
        <f t="shared" si="21"/>
      </c>
      <c r="BY32" s="167">
        <f>IF('Encodage réponses Es'!CF31="","",'Encodage réponses Es'!CF31)</f>
      </c>
      <c r="BZ32" s="167">
        <f>IF('Encodage réponses Es'!CG31="","",'Encodage réponses Es'!CG31)</f>
      </c>
      <c r="CA32" s="358">
        <f t="shared" si="22"/>
      </c>
      <c r="CB32" s="359"/>
      <c r="CC32" s="167">
        <f>IF('Encodage réponses Es'!CA31="","",'Encodage réponses Es'!CA31)</f>
      </c>
      <c r="CD32" s="167">
        <f>IF('Encodage réponses Es'!CB31="","",'Encodage réponses Es'!CB31)</f>
      </c>
      <c r="CE32" s="167">
        <f>IF('Encodage réponses Es'!CC31="","",'Encodage réponses Es'!CC31)</f>
      </c>
      <c r="CF32" s="167">
        <f>IF('Encodage réponses Es'!CD31="","",'Encodage réponses Es'!CD31)</f>
      </c>
      <c r="CG32" s="167">
        <f>IF('Encodage réponses Es'!CE31="","",'Encodage réponses Es'!CE31)</f>
      </c>
      <c r="CH32" s="330">
        <f t="shared" si="23"/>
      </c>
      <c r="CI32" s="331"/>
      <c r="CJ32" s="167">
        <f>IF('Encodage réponses Es'!AJ31="","",'Encodage réponses Es'!AJ31)</f>
      </c>
      <c r="CK32" s="167">
        <f>IF('Encodage réponses Es'!AK31="","",'Encodage réponses Es'!AK31)</f>
      </c>
      <c r="CL32" s="167">
        <f>IF('Encodage réponses Es'!AL31="","",'Encodage réponses Es'!AL31)</f>
      </c>
      <c r="CM32" s="167">
        <f>IF('Encodage réponses Es'!AM31="","",'Encodage réponses Es'!AM31)</f>
      </c>
      <c r="CN32" s="167">
        <f>IF('Encodage réponses Es'!AN31="","",'Encodage réponses Es'!AN31)</f>
      </c>
      <c r="CO32" s="167">
        <f>IF('Encodage réponses Es'!AO31="","",'Encodage réponses Es'!AO31)</f>
      </c>
      <c r="CP32" s="167">
        <f>IF('Encodage réponses Es'!AP31="","",'Encodage réponses Es'!AP31)</f>
      </c>
      <c r="CQ32" s="167">
        <f>IF('Encodage réponses Es'!AQ31="","",'Encodage réponses Es'!AQ31)</f>
      </c>
      <c r="CR32" s="167">
        <f>IF('Encodage réponses Es'!AR31="","",'Encodage réponses Es'!AR31)</f>
      </c>
      <c r="CS32" s="167">
        <f>IF('Encodage réponses Es'!AS31="","",'Encodage réponses Es'!AS31)</f>
      </c>
      <c r="CT32" s="167">
        <f>IF('Encodage réponses Es'!AT31="","",'Encodage réponses Es'!AT31)</f>
      </c>
      <c r="CU32" s="167">
        <f>IF('Encodage réponses Es'!AU31="","",'Encodage réponses Es'!AU31)</f>
      </c>
      <c r="CV32" s="358">
        <f t="shared" si="24"/>
      </c>
      <c r="CW32" s="359"/>
      <c r="CX32" s="167">
        <f>IF('Encodage réponses Es'!AV31="","",'Encodage réponses Es'!AV31)</f>
      </c>
      <c r="CY32" s="167">
        <f>IF('Encodage réponses Es'!AW31="","",'Encodage réponses Es'!AW31)</f>
      </c>
      <c r="CZ32" s="167">
        <f>IF('Encodage réponses Es'!AX31="","",'Encodage réponses Es'!AX31)</f>
      </c>
      <c r="DA32" s="167">
        <f>IF('Encodage réponses Es'!AY31="","",'Encodage réponses Es'!AY31)</f>
      </c>
      <c r="DB32" s="167">
        <f>IF('Encodage réponses Es'!AZ31="","",'Encodage réponses Es'!AZ31)</f>
      </c>
      <c r="DC32" s="167">
        <f>IF('Encodage réponses Es'!BA31="","",'Encodage réponses Es'!BA31)</f>
      </c>
      <c r="DD32" s="167">
        <f>IF('Encodage réponses Es'!BB31="","",'Encodage réponses Es'!BB31)</f>
      </c>
      <c r="DE32" s="358">
        <f t="shared" si="25"/>
      </c>
      <c r="DF32" s="359"/>
      <c r="DG32" s="167">
        <f>IF('Encodage réponses Es'!BC31="","",'Encodage réponses Es'!BC31)</f>
      </c>
      <c r="DH32" s="167">
        <f>IF('Encodage réponses Es'!BD31="","",'Encodage réponses Es'!BD31)</f>
      </c>
      <c r="DI32" s="167">
        <f>IF('Encodage réponses Es'!BE31="","",'Encodage réponses Es'!BE31)</f>
      </c>
      <c r="DJ32" s="167">
        <f>IF('Encodage réponses Es'!BF31="","",'Encodage réponses Es'!BF31)</f>
      </c>
      <c r="DK32" s="167">
        <f>IF('Encodage réponses Es'!BG31="","",'Encodage réponses Es'!BG31)</f>
      </c>
      <c r="DL32" s="167">
        <f>IF('Encodage réponses Es'!BH31="","",'Encodage réponses Es'!BH31)</f>
      </c>
      <c r="DM32" s="167">
        <f>IF('Encodage réponses Es'!BI31="","",'Encodage réponses Es'!BI31)</f>
      </c>
      <c r="DN32" s="167">
        <f>IF('Encodage réponses Es'!BJ31="","",'Encodage réponses Es'!BJ31)</f>
      </c>
      <c r="DO32" s="167">
        <f>IF('Encodage réponses Es'!BK31="","",'Encodage réponses Es'!BK31)</f>
      </c>
      <c r="DP32" s="167">
        <f>IF('Encodage réponses Es'!BL31="","",'Encodage réponses Es'!BL31)</f>
      </c>
      <c r="DQ32" s="167">
        <f>IF('Encodage réponses Es'!BM31="","",'Encodage réponses Es'!BM31)</f>
      </c>
      <c r="DR32" s="167">
        <f>IF('Encodage réponses Es'!BN31="","",'Encodage réponses Es'!BN31)</f>
      </c>
      <c r="DS32" s="167">
        <f>IF('Encodage réponses Es'!BO31="","",'Encodage réponses Es'!BO31)</f>
      </c>
      <c r="DT32" s="167">
        <f>IF('Encodage réponses Es'!BP31="","",'Encodage réponses Es'!BP31)</f>
      </c>
      <c r="DU32" s="330">
        <f t="shared" si="26"/>
      </c>
      <c r="DV32" s="331"/>
    </row>
    <row r="33" spans="1:126" ht="11.25" customHeight="1">
      <c r="A33" s="181"/>
      <c r="B33"/>
      <c r="C33" s="278">
        <f>IF('Encodage réponses Es'!C32="","",'Encodage réponses Es'!C32)</f>
        <v>30</v>
      </c>
      <c r="D33" s="340"/>
      <c r="E33" s="291">
        <f t="shared" si="1"/>
      </c>
      <c r="F33" s="290">
        <f t="shared" si="2"/>
      </c>
      <c r="G33" s="322"/>
      <c r="H33" s="291">
        <f t="shared" si="3"/>
      </c>
      <c r="I33" s="29"/>
      <c r="J33" s="291">
        <f t="shared" si="4"/>
      </c>
      <c r="K33" s="290">
        <f t="shared" si="5"/>
      </c>
      <c r="L33" s="291">
        <f t="shared" si="6"/>
      </c>
      <c r="M33" s="290">
        <f t="shared" si="7"/>
      </c>
      <c r="N33" s="291">
        <f t="shared" si="8"/>
      </c>
      <c r="O33" s="290">
        <f t="shared" si="9"/>
      </c>
      <c r="P33" s="291">
        <f>IF(DU33="","",Résultats!DU33)</f>
      </c>
      <c r="Q33" s="292">
        <f t="shared" si="10"/>
      </c>
      <c r="R33" s="181"/>
      <c r="S33" s="284"/>
      <c r="T33" s="186">
        <f>IF('Encodage réponses Es'!E32="","",'Encodage réponses Es'!E32)</f>
      </c>
      <c r="U33" s="100">
        <f>IF('Encodage réponses Es'!J32="","",'Encodage réponses Es'!J32)</f>
      </c>
      <c r="V33" s="100">
        <f>IF('Encodage réponses Es'!AP32="","",'Encodage réponses Es'!AP32)</f>
      </c>
      <c r="W33" s="358">
        <f t="shared" si="11"/>
      </c>
      <c r="X33" s="359"/>
      <c r="Y33" s="167">
        <f>IF('Encodage réponses Es'!H32="","",'Encodage réponses Es'!H32)</f>
      </c>
      <c r="Z33" s="167">
        <f>IF('Encodage réponses Es'!I32="","",'Encodage réponses Es'!I32)</f>
      </c>
      <c r="AA33" s="167">
        <f>IF('Encodage réponses Es'!J32="","",'Encodage réponses Es'!J32)</f>
      </c>
      <c r="AB33" s="167">
        <f>IF('Encodage réponses Es'!K32="","",'Encodage réponses Es'!K32)</f>
      </c>
      <c r="AC33" s="167">
        <f>IF('Encodage réponses Es'!L32="","",'Encodage réponses Es'!L32)</f>
      </c>
      <c r="AD33" s="167">
        <f>IF('Encodage réponses Es'!Q32="","",'Encodage réponses Es'!Q32)</f>
      </c>
      <c r="AE33" s="167">
        <f>IF('Encodage réponses Es'!R32="","",'Encodage réponses Es'!R32)</f>
      </c>
      <c r="AF33" s="167">
        <f>IF('Encodage réponses Es'!S32="","",'Encodage réponses Es'!S32)</f>
      </c>
      <c r="AG33" s="167">
        <f>IF('Encodage réponses Es'!T32="","",'Encodage réponses Es'!T32)</f>
      </c>
      <c r="AH33" s="167">
        <f>IF('Encodage réponses Es'!U32="","",'Encodage réponses Es'!U32)</f>
      </c>
      <c r="AI33" s="167">
        <f>IF('Encodage réponses Es'!V32="","",'Encodage réponses Es'!V32)</f>
      </c>
      <c r="AJ33" s="167">
        <f>IF('Encodage réponses Es'!W32="","",'Encodage réponses Es'!W32)</f>
      </c>
      <c r="AK33" s="167">
        <f>IF('Encodage réponses Es'!X32="","",'Encodage réponses Es'!X32)</f>
      </c>
      <c r="AL33" s="167">
        <f>IF('Encodage réponses Es'!Y32="","",'Encodage réponses Es'!Y32)</f>
      </c>
      <c r="AM33" s="167">
        <f>IF('Encodage réponses Es'!Z32="","",'Encodage réponses Es'!Z32)</f>
      </c>
      <c r="AN33" s="167">
        <f>IF('Encodage réponses Es'!AA32="","",'Encodage réponses Es'!AA32)</f>
      </c>
      <c r="AO33" s="358">
        <f t="shared" si="12"/>
      </c>
      <c r="AP33" s="359"/>
      <c r="AQ33" s="55">
        <f t="shared" si="27"/>
      </c>
      <c r="AR33" s="55">
        <f t="shared" si="13"/>
      </c>
      <c r="AS33" s="241">
        <f>IF('Encodage réponses Es'!M32="","",'Encodage réponses Es'!M32)</f>
      </c>
      <c r="AT33" s="167">
        <f>IF('Encodage réponses Es'!N32="","",'Encodage réponses Es'!N32)</f>
      </c>
      <c r="AU33" s="167">
        <f>IF('Encodage réponses Es'!O32="","",'Encodage réponses Es'!O32)</f>
      </c>
      <c r="AV33" s="167">
        <f>IF('Encodage réponses Es'!P32="","",'Encodage réponses Es'!P32)</f>
      </c>
      <c r="AW33" s="358">
        <f t="shared" si="14"/>
      </c>
      <c r="AX33" s="359"/>
      <c r="AY33" s="167">
        <f>IF('Encodage réponses Es'!AB32="","",'Encodage réponses Es'!AB32)</f>
      </c>
      <c r="AZ33" s="167">
        <f>IF('Encodage réponses Es'!AC32="","",'Encodage réponses Es'!AC32)</f>
      </c>
      <c r="BA33" s="167">
        <f>IF('Encodage réponses Es'!AD32="","",'Encodage réponses Es'!AD32)</f>
      </c>
      <c r="BB33" s="167">
        <f>IF('Encodage réponses Es'!AE32="","",'Encodage réponses Es'!AE32)</f>
      </c>
      <c r="BC33" s="167">
        <f>IF('Encodage réponses Es'!AF32="","",'Encodage réponses Es'!AF32)</f>
      </c>
      <c r="BD33" s="167">
        <f>IF('Encodage réponses Es'!AG32="","",'Encodage réponses Es'!AG32)</f>
      </c>
      <c r="BE33" s="167">
        <f>IF('Encodage réponses Es'!AH32="","",'Encodage réponses Es'!AH32)</f>
      </c>
      <c r="BF33" s="167">
        <f>IF('Encodage réponses Es'!AI32="","",'Encodage réponses Es'!AI32)</f>
      </c>
      <c r="BG33" s="55">
        <f t="shared" si="15"/>
      </c>
      <c r="BH33" s="221">
        <f t="shared" si="16"/>
      </c>
      <c r="BI33" s="150">
        <f t="shared" si="17"/>
      </c>
      <c r="BJ33" s="54">
        <f t="shared" si="18"/>
      </c>
      <c r="BK33" s="167">
        <f>IF('Encodage réponses Es'!BQ32="","",'Encodage réponses Es'!BQ32)</f>
      </c>
      <c r="BL33" s="167">
        <f>IF('Encodage réponses Es'!BR32="","",'Encodage réponses Es'!BR32)</f>
      </c>
      <c r="BM33" s="167">
        <f>IF('Encodage réponses Es'!BS32="","",'Encodage réponses Es'!BS32)</f>
      </c>
      <c r="BN33" s="167">
        <f>IF('Encodage réponses Es'!BT32="","",'Encodage réponses Es'!BT32)</f>
      </c>
      <c r="BO33" s="289"/>
      <c r="BP33" s="358">
        <f t="shared" si="19"/>
      </c>
      <c r="BQ33" s="359"/>
      <c r="BR33" s="167">
        <f>IF('Encodage réponses Es'!BV32="","",'Encodage réponses Es'!BV32)</f>
      </c>
      <c r="BS33" s="167">
        <f>IF('Encodage réponses Es'!BW32="","",'Encodage réponses Es'!BW32)</f>
      </c>
      <c r="BT33" s="167">
        <f>IF('Encodage réponses Es'!BX32="","",'Encodage réponses Es'!BX32)</f>
      </c>
      <c r="BU33" s="167">
        <f>IF('Encodage réponses Es'!BY32="","",'Encodage réponses Es'!BY32)</f>
      </c>
      <c r="BV33" s="167">
        <f>IF('Encodage réponses Es'!BZ32="","",'Encodage réponses Es'!BZ32)</f>
      </c>
      <c r="BW33" s="251">
        <f t="shared" si="20"/>
      </c>
      <c r="BX33" s="221">
        <f t="shared" si="21"/>
      </c>
      <c r="BY33" s="167">
        <f>IF('Encodage réponses Es'!CF32="","",'Encodage réponses Es'!CF32)</f>
      </c>
      <c r="BZ33" s="167">
        <f>IF('Encodage réponses Es'!CG32="","",'Encodage réponses Es'!CG32)</f>
      </c>
      <c r="CA33" s="358">
        <f t="shared" si="22"/>
      </c>
      <c r="CB33" s="359"/>
      <c r="CC33" s="167">
        <f>IF('Encodage réponses Es'!CA32="","",'Encodage réponses Es'!CA32)</f>
      </c>
      <c r="CD33" s="167">
        <f>IF('Encodage réponses Es'!CB32="","",'Encodage réponses Es'!CB32)</f>
      </c>
      <c r="CE33" s="167">
        <f>IF('Encodage réponses Es'!CC32="","",'Encodage réponses Es'!CC32)</f>
      </c>
      <c r="CF33" s="167">
        <f>IF('Encodage réponses Es'!CD32="","",'Encodage réponses Es'!CD32)</f>
      </c>
      <c r="CG33" s="167">
        <f>IF('Encodage réponses Es'!CE32="","",'Encodage réponses Es'!CE32)</f>
      </c>
      <c r="CH33" s="330">
        <f t="shared" si="23"/>
      </c>
      <c r="CI33" s="331"/>
      <c r="CJ33" s="167">
        <f>IF('Encodage réponses Es'!AJ32="","",'Encodage réponses Es'!AJ32)</f>
      </c>
      <c r="CK33" s="167">
        <f>IF('Encodage réponses Es'!AK32="","",'Encodage réponses Es'!AK32)</f>
      </c>
      <c r="CL33" s="167">
        <f>IF('Encodage réponses Es'!AL32="","",'Encodage réponses Es'!AL32)</f>
      </c>
      <c r="CM33" s="167">
        <f>IF('Encodage réponses Es'!AM32="","",'Encodage réponses Es'!AM32)</f>
      </c>
      <c r="CN33" s="167">
        <f>IF('Encodage réponses Es'!AN32="","",'Encodage réponses Es'!AN32)</f>
      </c>
      <c r="CO33" s="167">
        <f>IF('Encodage réponses Es'!AO32="","",'Encodage réponses Es'!AO32)</f>
      </c>
      <c r="CP33" s="167">
        <f>IF('Encodage réponses Es'!AP32="","",'Encodage réponses Es'!AP32)</f>
      </c>
      <c r="CQ33" s="167">
        <f>IF('Encodage réponses Es'!AQ32="","",'Encodage réponses Es'!AQ32)</f>
      </c>
      <c r="CR33" s="167">
        <f>IF('Encodage réponses Es'!AR32="","",'Encodage réponses Es'!AR32)</f>
      </c>
      <c r="CS33" s="167">
        <f>IF('Encodage réponses Es'!AS32="","",'Encodage réponses Es'!AS32)</f>
      </c>
      <c r="CT33" s="167">
        <f>IF('Encodage réponses Es'!AT32="","",'Encodage réponses Es'!AT32)</f>
      </c>
      <c r="CU33" s="167">
        <f>IF('Encodage réponses Es'!AU32="","",'Encodage réponses Es'!AU32)</f>
      </c>
      <c r="CV33" s="358">
        <f t="shared" si="24"/>
      </c>
      <c r="CW33" s="359"/>
      <c r="CX33" s="167">
        <f>IF('Encodage réponses Es'!AV32="","",'Encodage réponses Es'!AV32)</f>
      </c>
      <c r="CY33" s="167">
        <f>IF('Encodage réponses Es'!AW32="","",'Encodage réponses Es'!AW32)</f>
      </c>
      <c r="CZ33" s="167">
        <f>IF('Encodage réponses Es'!AX32="","",'Encodage réponses Es'!AX32)</f>
      </c>
      <c r="DA33" s="167">
        <f>IF('Encodage réponses Es'!AY32="","",'Encodage réponses Es'!AY32)</f>
      </c>
      <c r="DB33" s="167">
        <f>IF('Encodage réponses Es'!AZ32="","",'Encodage réponses Es'!AZ32)</f>
      </c>
      <c r="DC33" s="167">
        <f>IF('Encodage réponses Es'!BA32="","",'Encodage réponses Es'!BA32)</f>
      </c>
      <c r="DD33" s="167">
        <f>IF('Encodage réponses Es'!BB32="","",'Encodage réponses Es'!BB32)</f>
      </c>
      <c r="DE33" s="358">
        <f t="shared" si="25"/>
      </c>
      <c r="DF33" s="359"/>
      <c r="DG33" s="167">
        <f>IF('Encodage réponses Es'!BC32="","",'Encodage réponses Es'!BC32)</f>
      </c>
      <c r="DH33" s="167">
        <f>IF('Encodage réponses Es'!BD32="","",'Encodage réponses Es'!BD32)</f>
      </c>
      <c r="DI33" s="167">
        <f>IF('Encodage réponses Es'!BE32="","",'Encodage réponses Es'!BE32)</f>
      </c>
      <c r="DJ33" s="167">
        <f>IF('Encodage réponses Es'!BF32="","",'Encodage réponses Es'!BF32)</f>
      </c>
      <c r="DK33" s="167">
        <f>IF('Encodage réponses Es'!BG32="","",'Encodage réponses Es'!BG32)</f>
      </c>
      <c r="DL33" s="167">
        <f>IF('Encodage réponses Es'!BH32="","",'Encodage réponses Es'!BH32)</f>
      </c>
      <c r="DM33" s="167">
        <f>IF('Encodage réponses Es'!BI32="","",'Encodage réponses Es'!BI32)</f>
      </c>
      <c r="DN33" s="167">
        <f>IF('Encodage réponses Es'!BJ32="","",'Encodage réponses Es'!BJ32)</f>
      </c>
      <c r="DO33" s="167">
        <f>IF('Encodage réponses Es'!BK32="","",'Encodage réponses Es'!BK32)</f>
      </c>
      <c r="DP33" s="167">
        <f>IF('Encodage réponses Es'!BL32="","",'Encodage réponses Es'!BL32)</f>
      </c>
      <c r="DQ33" s="167">
        <f>IF('Encodage réponses Es'!BM32="","",'Encodage réponses Es'!BM32)</f>
      </c>
      <c r="DR33" s="167">
        <f>IF('Encodage réponses Es'!BN32="","",'Encodage réponses Es'!BN32)</f>
      </c>
      <c r="DS33" s="167">
        <f>IF('Encodage réponses Es'!BO32="","",'Encodage réponses Es'!BO32)</f>
      </c>
      <c r="DT33" s="167">
        <f>IF('Encodage réponses Es'!BP32="","",'Encodage réponses Es'!BP32)</f>
      </c>
      <c r="DU33" s="330">
        <f t="shared" si="26"/>
      </c>
      <c r="DV33" s="331"/>
    </row>
    <row r="34" spans="1:126" ht="11.25" customHeight="1">
      <c r="A34" s="181"/>
      <c r="B34"/>
      <c r="C34" s="278">
        <f>IF('Encodage réponses Es'!C33="","",'Encodage réponses Es'!C33)</f>
        <v>31</v>
      </c>
      <c r="D34" s="340"/>
      <c r="E34" s="291">
        <f t="shared" si="1"/>
      </c>
      <c r="F34" s="290">
        <f t="shared" si="2"/>
      </c>
      <c r="G34" s="322"/>
      <c r="H34" s="291">
        <f t="shared" si="3"/>
      </c>
      <c r="I34" s="29"/>
      <c r="J34" s="291">
        <f t="shared" si="4"/>
      </c>
      <c r="K34" s="290">
        <f t="shared" si="5"/>
      </c>
      <c r="L34" s="291">
        <f t="shared" si="6"/>
      </c>
      <c r="M34" s="290">
        <f t="shared" si="7"/>
      </c>
      <c r="N34" s="291">
        <f t="shared" si="8"/>
      </c>
      <c r="O34" s="290">
        <f t="shared" si="9"/>
      </c>
      <c r="P34" s="291">
        <f>IF(DU34="","",Résultats!DU34)</f>
      </c>
      <c r="Q34" s="292">
        <f t="shared" si="10"/>
      </c>
      <c r="R34" s="181"/>
      <c r="S34" s="284"/>
      <c r="T34" s="186">
        <f>IF('Encodage réponses Es'!E33="","",'Encodage réponses Es'!E33)</f>
      </c>
      <c r="U34" s="100">
        <f>IF('Encodage réponses Es'!J33="","",'Encodage réponses Es'!J33)</f>
      </c>
      <c r="V34" s="100">
        <f>IF('Encodage réponses Es'!AP33="","",'Encodage réponses Es'!AP33)</f>
      </c>
      <c r="W34" s="358">
        <f t="shared" si="11"/>
      </c>
      <c r="X34" s="359"/>
      <c r="Y34" s="167">
        <f>IF('Encodage réponses Es'!H33="","",'Encodage réponses Es'!H33)</f>
      </c>
      <c r="Z34" s="167">
        <f>IF('Encodage réponses Es'!I33="","",'Encodage réponses Es'!I33)</f>
      </c>
      <c r="AA34" s="167">
        <f>IF('Encodage réponses Es'!J33="","",'Encodage réponses Es'!J33)</f>
      </c>
      <c r="AB34" s="167">
        <f>IF('Encodage réponses Es'!K33="","",'Encodage réponses Es'!K33)</f>
      </c>
      <c r="AC34" s="167">
        <f>IF('Encodage réponses Es'!L33="","",'Encodage réponses Es'!L33)</f>
      </c>
      <c r="AD34" s="167">
        <f>IF('Encodage réponses Es'!Q33="","",'Encodage réponses Es'!Q33)</f>
      </c>
      <c r="AE34" s="167">
        <f>IF('Encodage réponses Es'!R33="","",'Encodage réponses Es'!R33)</f>
      </c>
      <c r="AF34" s="167">
        <f>IF('Encodage réponses Es'!S33="","",'Encodage réponses Es'!S33)</f>
      </c>
      <c r="AG34" s="167">
        <f>IF('Encodage réponses Es'!T33="","",'Encodage réponses Es'!T33)</f>
      </c>
      <c r="AH34" s="167">
        <f>IF('Encodage réponses Es'!U33="","",'Encodage réponses Es'!U33)</f>
      </c>
      <c r="AI34" s="167">
        <f>IF('Encodage réponses Es'!V33="","",'Encodage réponses Es'!V33)</f>
      </c>
      <c r="AJ34" s="167">
        <f>IF('Encodage réponses Es'!W33="","",'Encodage réponses Es'!W33)</f>
      </c>
      <c r="AK34" s="167">
        <f>IF('Encodage réponses Es'!X33="","",'Encodage réponses Es'!X33)</f>
      </c>
      <c r="AL34" s="167">
        <f>IF('Encodage réponses Es'!Y33="","",'Encodage réponses Es'!Y33)</f>
      </c>
      <c r="AM34" s="167">
        <f>IF('Encodage réponses Es'!Z33="","",'Encodage réponses Es'!Z33)</f>
      </c>
      <c r="AN34" s="167">
        <f>IF('Encodage réponses Es'!AA33="","",'Encodage réponses Es'!AA33)</f>
      </c>
      <c r="AO34" s="358">
        <f t="shared" si="12"/>
      </c>
      <c r="AP34" s="359"/>
      <c r="AQ34" s="55">
        <f t="shared" si="27"/>
      </c>
      <c r="AR34" s="55">
        <f t="shared" si="13"/>
      </c>
      <c r="AS34" s="241">
        <f>IF('Encodage réponses Es'!M33="","",'Encodage réponses Es'!M33)</f>
      </c>
      <c r="AT34" s="167">
        <f>IF('Encodage réponses Es'!N33="","",'Encodage réponses Es'!N33)</f>
      </c>
      <c r="AU34" s="167">
        <f>IF('Encodage réponses Es'!O33="","",'Encodage réponses Es'!O33)</f>
      </c>
      <c r="AV34" s="167">
        <f>IF('Encodage réponses Es'!P33="","",'Encodage réponses Es'!P33)</f>
      </c>
      <c r="AW34" s="358">
        <f t="shared" si="14"/>
      </c>
      <c r="AX34" s="359"/>
      <c r="AY34" s="167">
        <f>IF('Encodage réponses Es'!AB33="","",'Encodage réponses Es'!AB33)</f>
      </c>
      <c r="AZ34" s="167">
        <f>IF('Encodage réponses Es'!AC33="","",'Encodage réponses Es'!AC33)</f>
      </c>
      <c r="BA34" s="167">
        <f>IF('Encodage réponses Es'!AD33="","",'Encodage réponses Es'!AD33)</f>
      </c>
      <c r="BB34" s="167">
        <f>IF('Encodage réponses Es'!AE33="","",'Encodage réponses Es'!AE33)</f>
      </c>
      <c r="BC34" s="167">
        <f>IF('Encodage réponses Es'!AF33="","",'Encodage réponses Es'!AF33)</f>
      </c>
      <c r="BD34" s="167">
        <f>IF('Encodage réponses Es'!AG33="","",'Encodage réponses Es'!AG33)</f>
      </c>
      <c r="BE34" s="167">
        <f>IF('Encodage réponses Es'!AH33="","",'Encodage réponses Es'!AH33)</f>
      </c>
      <c r="BF34" s="167">
        <f>IF('Encodage réponses Es'!AI33="","",'Encodage réponses Es'!AI33)</f>
      </c>
      <c r="BG34" s="55">
        <f t="shared" si="15"/>
      </c>
      <c r="BH34" s="221">
        <f t="shared" si="16"/>
      </c>
      <c r="BI34" s="150">
        <f t="shared" si="17"/>
      </c>
      <c r="BJ34" s="54">
        <f t="shared" si="18"/>
      </c>
      <c r="BK34" s="167">
        <f>IF('Encodage réponses Es'!BQ33="","",'Encodage réponses Es'!BQ33)</f>
      </c>
      <c r="BL34" s="167">
        <f>IF('Encodage réponses Es'!BR33="","",'Encodage réponses Es'!BR33)</f>
      </c>
      <c r="BM34" s="167">
        <f>IF('Encodage réponses Es'!BS33="","",'Encodage réponses Es'!BS33)</f>
      </c>
      <c r="BN34" s="167">
        <f>IF('Encodage réponses Es'!BT33="","",'Encodage réponses Es'!BT33)</f>
      </c>
      <c r="BO34" s="289"/>
      <c r="BP34" s="358">
        <f t="shared" si="19"/>
      </c>
      <c r="BQ34" s="359"/>
      <c r="BR34" s="167">
        <f>IF('Encodage réponses Es'!BV33="","",'Encodage réponses Es'!BV33)</f>
      </c>
      <c r="BS34" s="167">
        <f>IF('Encodage réponses Es'!BW33="","",'Encodage réponses Es'!BW33)</f>
      </c>
      <c r="BT34" s="167">
        <f>IF('Encodage réponses Es'!BX33="","",'Encodage réponses Es'!BX33)</f>
      </c>
      <c r="BU34" s="167">
        <f>IF('Encodage réponses Es'!BY33="","",'Encodage réponses Es'!BY33)</f>
      </c>
      <c r="BV34" s="167">
        <f>IF('Encodage réponses Es'!BZ33="","",'Encodage réponses Es'!BZ33)</f>
      </c>
      <c r="BW34" s="251">
        <f t="shared" si="20"/>
      </c>
      <c r="BX34" s="221">
        <f t="shared" si="21"/>
      </c>
      <c r="BY34" s="167">
        <f>IF('Encodage réponses Es'!CF33="","",'Encodage réponses Es'!CF33)</f>
      </c>
      <c r="BZ34" s="167">
        <f>IF('Encodage réponses Es'!CG33="","",'Encodage réponses Es'!CG33)</f>
      </c>
      <c r="CA34" s="358">
        <f t="shared" si="22"/>
      </c>
      <c r="CB34" s="359"/>
      <c r="CC34" s="167">
        <f>IF('Encodage réponses Es'!CA33="","",'Encodage réponses Es'!CA33)</f>
      </c>
      <c r="CD34" s="167">
        <f>IF('Encodage réponses Es'!CB33="","",'Encodage réponses Es'!CB33)</f>
      </c>
      <c r="CE34" s="167">
        <f>IF('Encodage réponses Es'!CC33="","",'Encodage réponses Es'!CC33)</f>
      </c>
      <c r="CF34" s="167">
        <f>IF('Encodage réponses Es'!CD33="","",'Encodage réponses Es'!CD33)</f>
      </c>
      <c r="CG34" s="167">
        <f>IF('Encodage réponses Es'!CE33="","",'Encodage réponses Es'!CE33)</f>
      </c>
      <c r="CH34" s="330">
        <f t="shared" si="23"/>
      </c>
      <c r="CI34" s="331"/>
      <c r="CJ34" s="167">
        <f>IF('Encodage réponses Es'!AJ33="","",'Encodage réponses Es'!AJ33)</f>
      </c>
      <c r="CK34" s="167">
        <f>IF('Encodage réponses Es'!AK33="","",'Encodage réponses Es'!AK33)</f>
      </c>
      <c r="CL34" s="167">
        <f>IF('Encodage réponses Es'!AL33="","",'Encodage réponses Es'!AL33)</f>
      </c>
      <c r="CM34" s="167">
        <f>IF('Encodage réponses Es'!AM33="","",'Encodage réponses Es'!AM33)</f>
      </c>
      <c r="CN34" s="167">
        <f>IF('Encodage réponses Es'!AN33="","",'Encodage réponses Es'!AN33)</f>
      </c>
      <c r="CO34" s="167">
        <f>IF('Encodage réponses Es'!AO33="","",'Encodage réponses Es'!AO33)</f>
      </c>
      <c r="CP34" s="167">
        <f>IF('Encodage réponses Es'!AP33="","",'Encodage réponses Es'!AP33)</f>
      </c>
      <c r="CQ34" s="167">
        <f>IF('Encodage réponses Es'!AQ33="","",'Encodage réponses Es'!AQ33)</f>
      </c>
      <c r="CR34" s="167">
        <f>IF('Encodage réponses Es'!AR33="","",'Encodage réponses Es'!AR33)</f>
      </c>
      <c r="CS34" s="167">
        <f>IF('Encodage réponses Es'!AS33="","",'Encodage réponses Es'!AS33)</f>
      </c>
      <c r="CT34" s="167">
        <f>IF('Encodage réponses Es'!AT33="","",'Encodage réponses Es'!AT33)</f>
      </c>
      <c r="CU34" s="167">
        <f>IF('Encodage réponses Es'!AU33="","",'Encodage réponses Es'!AU33)</f>
      </c>
      <c r="CV34" s="358">
        <f t="shared" si="24"/>
      </c>
      <c r="CW34" s="359"/>
      <c r="CX34" s="167">
        <f>IF('Encodage réponses Es'!AV33="","",'Encodage réponses Es'!AV33)</f>
      </c>
      <c r="CY34" s="167">
        <f>IF('Encodage réponses Es'!AW33="","",'Encodage réponses Es'!AW33)</f>
      </c>
      <c r="CZ34" s="167">
        <f>IF('Encodage réponses Es'!AX33="","",'Encodage réponses Es'!AX33)</f>
      </c>
      <c r="DA34" s="167">
        <f>IF('Encodage réponses Es'!AY33="","",'Encodage réponses Es'!AY33)</f>
      </c>
      <c r="DB34" s="167">
        <f>IF('Encodage réponses Es'!AZ33="","",'Encodage réponses Es'!AZ33)</f>
      </c>
      <c r="DC34" s="167">
        <f>IF('Encodage réponses Es'!BA33="","",'Encodage réponses Es'!BA33)</f>
      </c>
      <c r="DD34" s="167">
        <f>IF('Encodage réponses Es'!BB33="","",'Encodage réponses Es'!BB33)</f>
      </c>
      <c r="DE34" s="358">
        <f t="shared" si="25"/>
      </c>
      <c r="DF34" s="359"/>
      <c r="DG34" s="167">
        <f>IF('Encodage réponses Es'!BC33="","",'Encodage réponses Es'!BC33)</f>
      </c>
      <c r="DH34" s="167">
        <f>IF('Encodage réponses Es'!BD33="","",'Encodage réponses Es'!BD33)</f>
      </c>
      <c r="DI34" s="167">
        <f>IF('Encodage réponses Es'!BE33="","",'Encodage réponses Es'!BE33)</f>
      </c>
      <c r="DJ34" s="167">
        <f>IF('Encodage réponses Es'!BF33="","",'Encodage réponses Es'!BF33)</f>
      </c>
      <c r="DK34" s="167">
        <f>IF('Encodage réponses Es'!BG33="","",'Encodage réponses Es'!BG33)</f>
      </c>
      <c r="DL34" s="167">
        <f>IF('Encodage réponses Es'!BH33="","",'Encodage réponses Es'!BH33)</f>
      </c>
      <c r="DM34" s="167">
        <f>IF('Encodage réponses Es'!BI33="","",'Encodage réponses Es'!BI33)</f>
      </c>
      <c r="DN34" s="167">
        <f>IF('Encodage réponses Es'!BJ33="","",'Encodage réponses Es'!BJ33)</f>
      </c>
      <c r="DO34" s="167">
        <f>IF('Encodage réponses Es'!BK33="","",'Encodage réponses Es'!BK33)</f>
      </c>
      <c r="DP34" s="167">
        <f>IF('Encodage réponses Es'!BL33="","",'Encodage réponses Es'!BL33)</f>
      </c>
      <c r="DQ34" s="167">
        <f>IF('Encodage réponses Es'!BM33="","",'Encodage réponses Es'!BM33)</f>
      </c>
      <c r="DR34" s="167">
        <f>IF('Encodage réponses Es'!BN33="","",'Encodage réponses Es'!BN33)</f>
      </c>
      <c r="DS34" s="167">
        <f>IF('Encodage réponses Es'!BO33="","",'Encodage réponses Es'!BO33)</f>
      </c>
      <c r="DT34" s="167">
        <f>IF('Encodage réponses Es'!BP33="","",'Encodage réponses Es'!BP33)</f>
      </c>
      <c r="DU34" s="330">
        <f t="shared" si="26"/>
      </c>
      <c r="DV34" s="331"/>
    </row>
    <row r="35" spans="1:126" ht="11.25" customHeight="1">
      <c r="A35" s="181"/>
      <c r="B35"/>
      <c r="C35" s="278">
        <f>IF('Encodage réponses Es'!C34="","",'Encodage réponses Es'!C34)</f>
        <v>32</v>
      </c>
      <c r="D35" s="340"/>
      <c r="E35" s="291">
        <f t="shared" si="1"/>
      </c>
      <c r="F35" s="290">
        <f t="shared" si="2"/>
      </c>
      <c r="G35" s="322"/>
      <c r="H35" s="291">
        <f t="shared" si="3"/>
      </c>
      <c r="I35" s="29"/>
      <c r="J35" s="291">
        <f t="shared" si="4"/>
      </c>
      <c r="K35" s="290">
        <f t="shared" si="5"/>
      </c>
      <c r="L35" s="291">
        <f t="shared" si="6"/>
      </c>
      <c r="M35" s="290">
        <f t="shared" si="7"/>
      </c>
      <c r="N35" s="291">
        <f t="shared" si="8"/>
      </c>
      <c r="O35" s="290">
        <f t="shared" si="9"/>
      </c>
      <c r="P35" s="291">
        <f>IF(DU35="","",Résultats!DU35)</f>
      </c>
      <c r="Q35" s="292">
        <f t="shared" si="10"/>
      </c>
      <c r="R35" s="181"/>
      <c r="S35" s="284"/>
      <c r="T35" s="186">
        <f>IF('Encodage réponses Es'!E34="","",'Encodage réponses Es'!E34)</f>
      </c>
      <c r="U35" s="100">
        <f>IF('Encodage réponses Es'!J34="","",'Encodage réponses Es'!J34)</f>
      </c>
      <c r="V35" s="100">
        <f>IF('Encodage réponses Es'!AP34="","",'Encodage réponses Es'!AP34)</f>
      </c>
      <c r="W35" s="358">
        <f t="shared" si="11"/>
      </c>
      <c r="X35" s="359"/>
      <c r="Y35" s="167">
        <f>IF('Encodage réponses Es'!H34="","",'Encodage réponses Es'!H34)</f>
      </c>
      <c r="Z35" s="167">
        <f>IF('Encodage réponses Es'!I34="","",'Encodage réponses Es'!I34)</f>
      </c>
      <c r="AA35" s="167">
        <f>IF('Encodage réponses Es'!J34="","",'Encodage réponses Es'!J34)</f>
      </c>
      <c r="AB35" s="167">
        <f>IF('Encodage réponses Es'!K34="","",'Encodage réponses Es'!K34)</f>
      </c>
      <c r="AC35" s="167">
        <f>IF('Encodage réponses Es'!L34="","",'Encodage réponses Es'!L34)</f>
      </c>
      <c r="AD35" s="167">
        <f>IF('Encodage réponses Es'!Q34="","",'Encodage réponses Es'!Q34)</f>
      </c>
      <c r="AE35" s="167">
        <f>IF('Encodage réponses Es'!R34="","",'Encodage réponses Es'!R34)</f>
      </c>
      <c r="AF35" s="167">
        <f>IF('Encodage réponses Es'!S34="","",'Encodage réponses Es'!S34)</f>
      </c>
      <c r="AG35" s="167">
        <f>IF('Encodage réponses Es'!T34="","",'Encodage réponses Es'!T34)</f>
      </c>
      <c r="AH35" s="167">
        <f>IF('Encodage réponses Es'!U34="","",'Encodage réponses Es'!U34)</f>
      </c>
      <c r="AI35" s="167">
        <f>IF('Encodage réponses Es'!V34="","",'Encodage réponses Es'!V34)</f>
      </c>
      <c r="AJ35" s="167">
        <f>IF('Encodage réponses Es'!W34="","",'Encodage réponses Es'!W34)</f>
      </c>
      <c r="AK35" s="167">
        <f>IF('Encodage réponses Es'!X34="","",'Encodage réponses Es'!X34)</f>
      </c>
      <c r="AL35" s="167">
        <f>IF('Encodage réponses Es'!Y34="","",'Encodage réponses Es'!Y34)</f>
      </c>
      <c r="AM35" s="167">
        <f>IF('Encodage réponses Es'!Z34="","",'Encodage réponses Es'!Z34)</f>
      </c>
      <c r="AN35" s="167">
        <f>IF('Encodage réponses Es'!AA34="","",'Encodage réponses Es'!AA34)</f>
      </c>
      <c r="AO35" s="358">
        <f t="shared" si="12"/>
      </c>
      <c r="AP35" s="359"/>
      <c r="AQ35" s="55">
        <f t="shared" si="27"/>
      </c>
      <c r="AR35" s="55">
        <f t="shared" si="13"/>
      </c>
      <c r="AS35" s="241">
        <f>IF('Encodage réponses Es'!M34="","",'Encodage réponses Es'!M34)</f>
      </c>
      <c r="AT35" s="167">
        <f>IF('Encodage réponses Es'!N34="","",'Encodage réponses Es'!N34)</f>
      </c>
      <c r="AU35" s="167">
        <f>IF('Encodage réponses Es'!O34="","",'Encodage réponses Es'!O34)</f>
      </c>
      <c r="AV35" s="167">
        <f>IF('Encodage réponses Es'!P34="","",'Encodage réponses Es'!P34)</f>
      </c>
      <c r="AW35" s="358">
        <f t="shared" si="14"/>
      </c>
      <c r="AX35" s="359"/>
      <c r="AY35" s="167">
        <f>IF('Encodage réponses Es'!AB34="","",'Encodage réponses Es'!AB34)</f>
      </c>
      <c r="AZ35" s="167">
        <f>IF('Encodage réponses Es'!AC34="","",'Encodage réponses Es'!AC34)</f>
      </c>
      <c r="BA35" s="167">
        <f>IF('Encodage réponses Es'!AD34="","",'Encodage réponses Es'!AD34)</f>
      </c>
      <c r="BB35" s="167">
        <f>IF('Encodage réponses Es'!AE34="","",'Encodage réponses Es'!AE34)</f>
      </c>
      <c r="BC35" s="167">
        <f>IF('Encodage réponses Es'!AF34="","",'Encodage réponses Es'!AF34)</f>
      </c>
      <c r="BD35" s="167">
        <f>IF('Encodage réponses Es'!AG34="","",'Encodage réponses Es'!AG34)</f>
      </c>
      <c r="BE35" s="167">
        <f>IF('Encodage réponses Es'!AH34="","",'Encodage réponses Es'!AH34)</f>
      </c>
      <c r="BF35" s="167">
        <f>IF('Encodage réponses Es'!AI34="","",'Encodage réponses Es'!AI34)</f>
      </c>
      <c r="BG35" s="55">
        <f t="shared" si="15"/>
      </c>
      <c r="BH35" s="221">
        <f t="shared" si="16"/>
      </c>
      <c r="BI35" s="150">
        <f t="shared" si="17"/>
      </c>
      <c r="BJ35" s="54">
        <f t="shared" si="18"/>
      </c>
      <c r="BK35" s="167">
        <f>IF('Encodage réponses Es'!BQ34="","",'Encodage réponses Es'!BQ34)</f>
      </c>
      <c r="BL35" s="167">
        <f>IF('Encodage réponses Es'!BR34="","",'Encodage réponses Es'!BR34)</f>
      </c>
      <c r="BM35" s="167">
        <f>IF('Encodage réponses Es'!BS34="","",'Encodage réponses Es'!BS34)</f>
      </c>
      <c r="BN35" s="167">
        <f>IF('Encodage réponses Es'!BT34="","",'Encodage réponses Es'!BT34)</f>
      </c>
      <c r="BO35" s="289"/>
      <c r="BP35" s="358">
        <f t="shared" si="19"/>
      </c>
      <c r="BQ35" s="359"/>
      <c r="BR35" s="167">
        <f>IF('Encodage réponses Es'!BV34="","",'Encodage réponses Es'!BV34)</f>
      </c>
      <c r="BS35" s="167">
        <f>IF('Encodage réponses Es'!BW34="","",'Encodage réponses Es'!BW34)</f>
      </c>
      <c r="BT35" s="167">
        <f>IF('Encodage réponses Es'!BX34="","",'Encodage réponses Es'!BX34)</f>
      </c>
      <c r="BU35" s="167">
        <f>IF('Encodage réponses Es'!BY34="","",'Encodage réponses Es'!BY34)</f>
      </c>
      <c r="BV35" s="167">
        <f>IF('Encodage réponses Es'!BZ34="","",'Encodage réponses Es'!BZ34)</f>
      </c>
      <c r="BW35" s="251">
        <f t="shared" si="20"/>
      </c>
      <c r="BX35" s="221">
        <f t="shared" si="21"/>
      </c>
      <c r="BY35" s="167">
        <f>IF('Encodage réponses Es'!CF34="","",'Encodage réponses Es'!CF34)</f>
      </c>
      <c r="BZ35" s="167">
        <f>IF('Encodage réponses Es'!CG34="","",'Encodage réponses Es'!CG34)</f>
      </c>
      <c r="CA35" s="358">
        <f t="shared" si="22"/>
      </c>
      <c r="CB35" s="359"/>
      <c r="CC35" s="167">
        <f>IF('Encodage réponses Es'!CA34="","",'Encodage réponses Es'!CA34)</f>
      </c>
      <c r="CD35" s="167">
        <f>IF('Encodage réponses Es'!CB34="","",'Encodage réponses Es'!CB34)</f>
      </c>
      <c r="CE35" s="167">
        <f>IF('Encodage réponses Es'!CC34="","",'Encodage réponses Es'!CC34)</f>
      </c>
      <c r="CF35" s="167">
        <f>IF('Encodage réponses Es'!CD34="","",'Encodage réponses Es'!CD34)</f>
      </c>
      <c r="CG35" s="167">
        <f>IF('Encodage réponses Es'!CE34="","",'Encodage réponses Es'!CE34)</f>
      </c>
      <c r="CH35" s="330">
        <f t="shared" si="23"/>
      </c>
      <c r="CI35" s="331"/>
      <c r="CJ35" s="167">
        <f>IF('Encodage réponses Es'!AJ34="","",'Encodage réponses Es'!AJ34)</f>
      </c>
      <c r="CK35" s="167">
        <f>IF('Encodage réponses Es'!AK34="","",'Encodage réponses Es'!AK34)</f>
      </c>
      <c r="CL35" s="167">
        <f>IF('Encodage réponses Es'!AL34="","",'Encodage réponses Es'!AL34)</f>
      </c>
      <c r="CM35" s="167">
        <f>IF('Encodage réponses Es'!AM34="","",'Encodage réponses Es'!AM34)</f>
      </c>
      <c r="CN35" s="167">
        <f>IF('Encodage réponses Es'!AN34="","",'Encodage réponses Es'!AN34)</f>
      </c>
      <c r="CO35" s="167">
        <f>IF('Encodage réponses Es'!AO34="","",'Encodage réponses Es'!AO34)</f>
      </c>
      <c r="CP35" s="167">
        <f>IF('Encodage réponses Es'!AP34="","",'Encodage réponses Es'!AP34)</f>
      </c>
      <c r="CQ35" s="167">
        <f>IF('Encodage réponses Es'!AQ34="","",'Encodage réponses Es'!AQ34)</f>
      </c>
      <c r="CR35" s="167">
        <f>IF('Encodage réponses Es'!AR34="","",'Encodage réponses Es'!AR34)</f>
      </c>
      <c r="CS35" s="167">
        <f>IF('Encodage réponses Es'!AS34="","",'Encodage réponses Es'!AS34)</f>
      </c>
      <c r="CT35" s="167">
        <f>IF('Encodage réponses Es'!AT34="","",'Encodage réponses Es'!AT34)</f>
      </c>
      <c r="CU35" s="167">
        <f>IF('Encodage réponses Es'!AU34="","",'Encodage réponses Es'!AU34)</f>
      </c>
      <c r="CV35" s="358">
        <f t="shared" si="24"/>
      </c>
      <c r="CW35" s="359"/>
      <c r="CX35" s="167">
        <f>IF('Encodage réponses Es'!AV34="","",'Encodage réponses Es'!AV34)</f>
      </c>
      <c r="CY35" s="167">
        <f>IF('Encodage réponses Es'!AW34="","",'Encodage réponses Es'!AW34)</f>
      </c>
      <c r="CZ35" s="167">
        <f>IF('Encodage réponses Es'!AX34="","",'Encodage réponses Es'!AX34)</f>
      </c>
      <c r="DA35" s="167">
        <f>IF('Encodage réponses Es'!AY34="","",'Encodage réponses Es'!AY34)</f>
      </c>
      <c r="DB35" s="167">
        <f>IF('Encodage réponses Es'!AZ34="","",'Encodage réponses Es'!AZ34)</f>
      </c>
      <c r="DC35" s="167">
        <f>IF('Encodage réponses Es'!BA34="","",'Encodage réponses Es'!BA34)</f>
      </c>
      <c r="DD35" s="167">
        <f>IF('Encodage réponses Es'!BB34="","",'Encodage réponses Es'!BB34)</f>
      </c>
      <c r="DE35" s="358">
        <f t="shared" si="25"/>
      </c>
      <c r="DF35" s="359"/>
      <c r="DG35" s="167">
        <f>IF('Encodage réponses Es'!BC34="","",'Encodage réponses Es'!BC34)</f>
      </c>
      <c r="DH35" s="167">
        <f>IF('Encodage réponses Es'!BD34="","",'Encodage réponses Es'!BD34)</f>
      </c>
      <c r="DI35" s="167">
        <f>IF('Encodage réponses Es'!BE34="","",'Encodage réponses Es'!BE34)</f>
      </c>
      <c r="DJ35" s="167">
        <f>IF('Encodage réponses Es'!BF34="","",'Encodage réponses Es'!BF34)</f>
      </c>
      <c r="DK35" s="167">
        <f>IF('Encodage réponses Es'!BG34="","",'Encodage réponses Es'!BG34)</f>
      </c>
      <c r="DL35" s="167">
        <f>IF('Encodage réponses Es'!BH34="","",'Encodage réponses Es'!BH34)</f>
      </c>
      <c r="DM35" s="167">
        <f>IF('Encodage réponses Es'!BI34="","",'Encodage réponses Es'!BI34)</f>
      </c>
      <c r="DN35" s="167">
        <f>IF('Encodage réponses Es'!BJ34="","",'Encodage réponses Es'!BJ34)</f>
      </c>
      <c r="DO35" s="167">
        <f>IF('Encodage réponses Es'!BK34="","",'Encodage réponses Es'!BK34)</f>
      </c>
      <c r="DP35" s="167">
        <f>IF('Encodage réponses Es'!BL34="","",'Encodage réponses Es'!BL34)</f>
      </c>
      <c r="DQ35" s="167">
        <f>IF('Encodage réponses Es'!BM34="","",'Encodage réponses Es'!BM34)</f>
      </c>
      <c r="DR35" s="167">
        <f>IF('Encodage réponses Es'!BN34="","",'Encodage réponses Es'!BN34)</f>
      </c>
      <c r="DS35" s="167">
        <f>IF('Encodage réponses Es'!BO34="","",'Encodage réponses Es'!BO34)</f>
      </c>
      <c r="DT35" s="167">
        <f>IF('Encodage réponses Es'!BP34="","",'Encodage réponses Es'!BP34)</f>
      </c>
      <c r="DU35" s="330">
        <f t="shared" si="26"/>
      </c>
      <c r="DV35" s="331"/>
    </row>
    <row r="36" spans="1:126" ht="11.25" customHeight="1">
      <c r="A36" s="181"/>
      <c r="B36"/>
      <c r="C36" s="278">
        <f>IF('Encodage réponses Es'!C35="","",'Encodage réponses Es'!C35)</f>
        <v>33</v>
      </c>
      <c r="D36" s="340"/>
      <c r="E36" s="291">
        <f t="shared" si="1"/>
      </c>
      <c r="F36" s="290">
        <f t="shared" si="2"/>
      </c>
      <c r="G36" s="322"/>
      <c r="H36" s="291">
        <f t="shared" si="3"/>
      </c>
      <c r="I36" s="29"/>
      <c r="J36" s="291">
        <f t="shared" si="4"/>
      </c>
      <c r="K36" s="290">
        <f t="shared" si="5"/>
      </c>
      <c r="L36" s="291">
        <f t="shared" si="6"/>
      </c>
      <c r="M36" s="290">
        <f t="shared" si="7"/>
      </c>
      <c r="N36" s="291">
        <f t="shared" si="8"/>
      </c>
      <c r="O36" s="290">
        <f t="shared" si="9"/>
      </c>
      <c r="P36" s="291">
        <f>IF(DU36="","",Résultats!DU36)</f>
      </c>
      <c r="Q36" s="292">
        <f t="shared" si="10"/>
      </c>
      <c r="R36" s="181"/>
      <c r="S36" s="284"/>
      <c r="T36" s="186">
        <f>IF('Encodage réponses Es'!E35="","",'Encodage réponses Es'!E35)</f>
      </c>
      <c r="U36" s="100">
        <f>IF('Encodage réponses Es'!J35="","",'Encodage réponses Es'!J35)</f>
      </c>
      <c r="V36" s="100">
        <f>IF('Encodage réponses Es'!AP35="","",'Encodage réponses Es'!AP35)</f>
      </c>
      <c r="W36" s="358">
        <f t="shared" si="11"/>
      </c>
      <c r="X36" s="359"/>
      <c r="Y36" s="167">
        <f>IF('Encodage réponses Es'!H35="","",'Encodage réponses Es'!H35)</f>
      </c>
      <c r="Z36" s="167">
        <f>IF('Encodage réponses Es'!I35="","",'Encodage réponses Es'!I35)</f>
      </c>
      <c r="AA36" s="167">
        <f>IF('Encodage réponses Es'!J35="","",'Encodage réponses Es'!J35)</f>
      </c>
      <c r="AB36" s="167">
        <f>IF('Encodage réponses Es'!K35="","",'Encodage réponses Es'!K35)</f>
      </c>
      <c r="AC36" s="167">
        <f>IF('Encodage réponses Es'!L35="","",'Encodage réponses Es'!L35)</f>
      </c>
      <c r="AD36" s="167">
        <f>IF('Encodage réponses Es'!Q35="","",'Encodage réponses Es'!Q35)</f>
      </c>
      <c r="AE36" s="167">
        <f>IF('Encodage réponses Es'!R35="","",'Encodage réponses Es'!R35)</f>
      </c>
      <c r="AF36" s="167">
        <f>IF('Encodage réponses Es'!S35="","",'Encodage réponses Es'!S35)</f>
      </c>
      <c r="AG36" s="167">
        <f>IF('Encodage réponses Es'!T35="","",'Encodage réponses Es'!T35)</f>
      </c>
      <c r="AH36" s="167">
        <f>IF('Encodage réponses Es'!U35="","",'Encodage réponses Es'!U35)</f>
      </c>
      <c r="AI36" s="167">
        <f>IF('Encodage réponses Es'!V35="","",'Encodage réponses Es'!V35)</f>
      </c>
      <c r="AJ36" s="167">
        <f>IF('Encodage réponses Es'!W35="","",'Encodage réponses Es'!W35)</f>
      </c>
      <c r="AK36" s="167">
        <f>IF('Encodage réponses Es'!X35="","",'Encodage réponses Es'!X35)</f>
      </c>
      <c r="AL36" s="167">
        <f>IF('Encodage réponses Es'!Y35="","",'Encodage réponses Es'!Y35)</f>
      </c>
      <c r="AM36" s="167">
        <f>IF('Encodage réponses Es'!Z35="","",'Encodage réponses Es'!Z35)</f>
      </c>
      <c r="AN36" s="167">
        <f>IF('Encodage réponses Es'!AA35="","",'Encodage réponses Es'!AA35)</f>
      </c>
      <c r="AO36" s="358">
        <f t="shared" si="12"/>
      </c>
      <c r="AP36" s="359"/>
      <c r="AQ36" s="55">
        <f t="shared" si="27"/>
      </c>
      <c r="AR36" s="55">
        <f t="shared" si="13"/>
      </c>
      <c r="AS36" s="241">
        <f>IF('Encodage réponses Es'!M35="","",'Encodage réponses Es'!M35)</f>
      </c>
      <c r="AT36" s="167">
        <f>IF('Encodage réponses Es'!N35="","",'Encodage réponses Es'!N35)</f>
      </c>
      <c r="AU36" s="167">
        <f>IF('Encodage réponses Es'!O35="","",'Encodage réponses Es'!O35)</f>
      </c>
      <c r="AV36" s="167">
        <f>IF('Encodage réponses Es'!P35="","",'Encodage réponses Es'!P35)</f>
      </c>
      <c r="AW36" s="358">
        <f t="shared" si="14"/>
      </c>
      <c r="AX36" s="359"/>
      <c r="AY36" s="167">
        <f>IF('Encodage réponses Es'!AB35="","",'Encodage réponses Es'!AB35)</f>
      </c>
      <c r="AZ36" s="167">
        <f>IF('Encodage réponses Es'!AC35="","",'Encodage réponses Es'!AC35)</f>
      </c>
      <c r="BA36" s="167">
        <f>IF('Encodage réponses Es'!AD35="","",'Encodage réponses Es'!AD35)</f>
      </c>
      <c r="BB36" s="167">
        <f>IF('Encodage réponses Es'!AE35="","",'Encodage réponses Es'!AE35)</f>
      </c>
      <c r="BC36" s="167">
        <f>IF('Encodage réponses Es'!AF35="","",'Encodage réponses Es'!AF35)</f>
      </c>
      <c r="BD36" s="167">
        <f>IF('Encodage réponses Es'!AG35="","",'Encodage réponses Es'!AG35)</f>
      </c>
      <c r="BE36" s="167">
        <f>IF('Encodage réponses Es'!AH35="","",'Encodage réponses Es'!AH35)</f>
      </c>
      <c r="BF36" s="167">
        <f>IF('Encodage réponses Es'!AI35="","",'Encodage réponses Es'!AI35)</f>
      </c>
      <c r="BG36" s="55">
        <f t="shared" si="15"/>
      </c>
      <c r="BH36" s="221">
        <f t="shared" si="16"/>
      </c>
      <c r="BI36" s="150">
        <f t="shared" si="17"/>
      </c>
      <c r="BJ36" s="54">
        <f t="shared" si="18"/>
      </c>
      <c r="BK36" s="167">
        <f>IF('Encodage réponses Es'!BQ35="","",'Encodage réponses Es'!BQ35)</f>
      </c>
      <c r="BL36" s="167">
        <f>IF('Encodage réponses Es'!BR35="","",'Encodage réponses Es'!BR35)</f>
      </c>
      <c r="BM36" s="167">
        <f>IF('Encodage réponses Es'!BS35="","",'Encodage réponses Es'!BS35)</f>
      </c>
      <c r="BN36" s="167">
        <f>IF('Encodage réponses Es'!BT35="","",'Encodage réponses Es'!BT35)</f>
      </c>
      <c r="BO36" s="289"/>
      <c r="BP36" s="358">
        <f t="shared" si="19"/>
      </c>
      <c r="BQ36" s="359"/>
      <c r="BR36" s="167">
        <f>IF('Encodage réponses Es'!BV35="","",'Encodage réponses Es'!BV35)</f>
      </c>
      <c r="BS36" s="167">
        <f>IF('Encodage réponses Es'!BW35="","",'Encodage réponses Es'!BW35)</f>
      </c>
      <c r="BT36" s="167">
        <f>IF('Encodage réponses Es'!BX35="","",'Encodage réponses Es'!BX35)</f>
      </c>
      <c r="BU36" s="167">
        <f>IF('Encodage réponses Es'!BY35="","",'Encodage réponses Es'!BY35)</f>
      </c>
      <c r="BV36" s="167">
        <f>IF('Encodage réponses Es'!BZ35="","",'Encodage réponses Es'!BZ35)</f>
      </c>
      <c r="BW36" s="251">
        <f t="shared" si="20"/>
      </c>
      <c r="BX36" s="221">
        <f t="shared" si="21"/>
      </c>
      <c r="BY36" s="167">
        <f>IF('Encodage réponses Es'!CF35="","",'Encodage réponses Es'!CF35)</f>
      </c>
      <c r="BZ36" s="167">
        <f>IF('Encodage réponses Es'!CG35="","",'Encodage réponses Es'!CG35)</f>
      </c>
      <c r="CA36" s="358">
        <f t="shared" si="22"/>
      </c>
      <c r="CB36" s="359"/>
      <c r="CC36" s="167">
        <f>IF('Encodage réponses Es'!CA35="","",'Encodage réponses Es'!CA35)</f>
      </c>
      <c r="CD36" s="167">
        <f>IF('Encodage réponses Es'!CB35="","",'Encodage réponses Es'!CB35)</f>
      </c>
      <c r="CE36" s="167">
        <f>IF('Encodage réponses Es'!CC35="","",'Encodage réponses Es'!CC35)</f>
      </c>
      <c r="CF36" s="167">
        <f>IF('Encodage réponses Es'!CD35="","",'Encodage réponses Es'!CD35)</f>
      </c>
      <c r="CG36" s="167">
        <f>IF('Encodage réponses Es'!CE35="","",'Encodage réponses Es'!CE35)</f>
      </c>
      <c r="CH36" s="330">
        <f t="shared" si="23"/>
      </c>
      <c r="CI36" s="331"/>
      <c r="CJ36" s="167">
        <f>IF('Encodage réponses Es'!AJ35="","",'Encodage réponses Es'!AJ35)</f>
      </c>
      <c r="CK36" s="167">
        <f>IF('Encodage réponses Es'!AK35="","",'Encodage réponses Es'!AK35)</f>
      </c>
      <c r="CL36" s="167">
        <f>IF('Encodage réponses Es'!AL35="","",'Encodage réponses Es'!AL35)</f>
      </c>
      <c r="CM36" s="167">
        <f>IF('Encodage réponses Es'!AM35="","",'Encodage réponses Es'!AM35)</f>
      </c>
      <c r="CN36" s="167">
        <f>IF('Encodage réponses Es'!AN35="","",'Encodage réponses Es'!AN35)</f>
      </c>
      <c r="CO36" s="167">
        <f>IF('Encodage réponses Es'!AO35="","",'Encodage réponses Es'!AO35)</f>
      </c>
      <c r="CP36" s="167">
        <f>IF('Encodage réponses Es'!AP35="","",'Encodage réponses Es'!AP35)</f>
      </c>
      <c r="CQ36" s="167">
        <f>IF('Encodage réponses Es'!AQ35="","",'Encodage réponses Es'!AQ35)</f>
      </c>
      <c r="CR36" s="167">
        <f>IF('Encodage réponses Es'!AR35="","",'Encodage réponses Es'!AR35)</f>
      </c>
      <c r="CS36" s="167">
        <f>IF('Encodage réponses Es'!AS35="","",'Encodage réponses Es'!AS35)</f>
      </c>
      <c r="CT36" s="167">
        <f>IF('Encodage réponses Es'!AT35="","",'Encodage réponses Es'!AT35)</f>
      </c>
      <c r="CU36" s="167">
        <f>IF('Encodage réponses Es'!AU35="","",'Encodage réponses Es'!AU35)</f>
      </c>
      <c r="CV36" s="358">
        <f t="shared" si="24"/>
      </c>
      <c r="CW36" s="359"/>
      <c r="CX36" s="167">
        <f>IF('Encodage réponses Es'!AV35="","",'Encodage réponses Es'!AV35)</f>
      </c>
      <c r="CY36" s="167">
        <f>IF('Encodage réponses Es'!AW35="","",'Encodage réponses Es'!AW35)</f>
      </c>
      <c r="CZ36" s="167">
        <f>IF('Encodage réponses Es'!AX35="","",'Encodage réponses Es'!AX35)</f>
      </c>
      <c r="DA36" s="167">
        <f>IF('Encodage réponses Es'!AY35="","",'Encodage réponses Es'!AY35)</f>
      </c>
      <c r="DB36" s="167">
        <f>IF('Encodage réponses Es'!AZ35="","",'Encodage réponses Es'!AZ35)</f>
      </c>
      <c r="DC36" s="167">
        <f>IF('Encodage réponses Es'!BA35="","",'Encodage réponses Es'!BA35)</f>
      </c>
      <c r="DD36" s="167">
        <f>IF('Encodage réponses Es'!BB35="","",'Encodage réponses Es'!BB35)</f>
      </c>
      <c r="DE36" s="358">
        <f t="shared" si="25"/>
      </c>
      <c r="DF36" s="359"/>
      <c r="DG36" s="167">
        <f>IF('Encodage réponses Es'!BC35="","",'Encodage réponses Es'!BC35)</f>
      </c>
      <c r="DH36" s="167">
        <f>IF('Encodage réponses Es'!BD35="","",'Encodage réponses Es'!BD35)</f>
      </c>
      <c r="DI36" s="167">
        <f>IF('Encodage réponses Es'!BE35="","",'Encodage réponses Es'!BE35)</f>
      </c>
      <c r="DJ36" s="167">
        <f>IF('Encodage réponses Es'!BF35="","",'Encodage réponses Es'!BF35)</f>
      </c>
      <c r="DK36" s="167">
        <f>IF('Encodage réponses Es'!BG35="","",'Encodage réponses Es'!BG35)</f>
      </c>
      <c r="DL36" s="167">
        <f>IF('Encodage réponses Es'!BH35="","",'Encodage réponses Es'!BH35)</f>
      </c>
      <c r="DM36" s="167">
        <f>IF('Encodage réponses Es'!BI35="","",'Encodage réponses Es'!BI35)</f>
      </c>
      <c r="DN36" s="167">
        <f>IF('Encodage réponses Es'!BJ35="","",'Encodage réponses Es'!BJ35)</f>
      </c>
      <c r="DO36" s="167">
        <f>IF('Encodage réponses Es'!BK35="","",'Encodage réponses Es'!BK35)</f>
      </c>
      <c r="DP36" s="167">
        <f>IF('Encodage réponses Es'!BL35="","",'Encodage réponses Es'!BL35)</f>
      </c>
      <c r="DQ36" s="167">
        <f>IF('Encodage réponses Es'!BM35="","",'Encodage réponses Es'!BM35)</f>
      </c>
      <c r="DR36" s="167">
        <f>IF('Encodage réponses Es'!BN35="","",'Encodage réponses Es'!BN35)</f>
      </c>
      <c r="DS36" s="167">
        <f>IF('Encodage réponses Es'!BO35="","",'Encodage réponses Es'!BO35)</f>
      </c>
      <c r="DT36" s="167">
        <f>IF('Encodage réponses Es'!BP35="","",'Encodage réponses Es'!BP35)</f>
      </c>
      <c r="DU36" s="330">
        <f t="shared" si="26"/>
      </c>
      <c r="DV36" s="331"/>
    </row>
    <row r="37" spans="1:126" ht="11.25" customHeight="1" thickBot="1">
      <c r="A37" s="184"/>
      <c r="B37" s="280"/>
      <c r="C37" s="279">
        <f>IF('Encodage réponses Es'!C36="","",'Encodage réponses Es'!C36)</f>
        <v>34</v>
      </c>
      <c r="D37" s="341"/>
      <c r="E37" s="291">
        <f t="shared" si="1"/>
      </c>
      <c r="F37" s="290">
        <f t="shared" si="2"/>
      </c>
      <c r="G37" s="322"/>
      <c r="H37" s="291">
        <f t="shared" si="3"/>
      </c>
      <c r="I37" s="29"/>
      <c r="J37" s="291">
        <f t="shared" si="4"/>
      </c>
      <c r="K37" s="290">
        <f t="shared" si="5"/>
      </c>
      <c r="L37" s="291">
        <f t="shared" si="6"/>
      </c>
      <c r="M37" s="290">
        <f t="shared" si="7"/>
      </c>
      <c r="N37" s="291">
        <f t="shared" si="8"/>
      </c>
      <c r="O37" s="290">
        <f t="shared" si="9"/>
      </c>
      <c r="P37" s="291">
        <f>IF(DU37="","",Résultats!DU37)</f>
      </c>
      <c r="Q37" s="292">
        <f t="shared" si="10"/>
      </c>
      <c r="R37" s="181"/>
      <c r="S37" s="284"/>
      <c r="T37" s="186">
        <f>IF('Encodage réponses Es'!E36="","",'Encodage réponses Es'!E36)</f>
      </c>
      <c r="U37" s="100">
        <f>IF('Encodage réponses Es'!J36="","",'Encodage réponses Es'!J36)</f>
      </c>
      <c r="V37" s="100">
        <f>IF('Encodage réponses Es'!AP36="","",'Encodage réponses Es'!AP36)</f>
      </c>
      <c r="W37" s="358">
        <f t="shared" si="11"/>
      </c>
      <c r="X37" s="359"/>
      <c r="Y37" s="167">
        <f>IF('Encodage réponses Es'!H36="","",'Encodage réponses Es'!H36)</f>
      </c>
      <c r="Z37" s="167">
        <f>IF('Encodage réponses Es'!I36="","",'Encodage réponses Es'!I36)</f>
      </c>
      <c r="AA37" s="167">
        <f>IF('Encodage réponses Es'!J36="","",'Encodage réponses Es'!J36)</f>
      </c>
      <c r="AB37" s="167">
        <f>IF('Encodage réponses Es'!K36="","",'Encodage réponses Es'!K36)</f>
      </c>
      <c r="AC37" s="167">
        <f>IF('Encodage réponses Es'!L36="","",'Encodage réponses Es'!L36)</f>
      </c>
      <c r="AD37" s="167">
        <f>IF('Encodage réponses Es'!Q36="","",'Encodage réponses Es'!Q36)</f>
      </c>
      <c r="AE37" s="167">
        <f>IF('Encodage réponses Es'!R36="","",'Encodage réponses Es'!R36)</f>
      </c>
      <c r="AF37" s="167">
        <f>IF('Encodage réponses Es'!S36="","",'Encodage réponses Es'!S36)</f>
      </c>
      <c r="AG37" s="167">
        <f>IF('Encodage réponses Es'!T36="","",'Encodage réponses Es'!T36)</f>
      </c>
      <c r="AH37" s="167">
        <f>IF('Encodage réponses Es'!U36="","",'Encodage réponses Es'!U36)</f>
      </c>
      <c r="AI37" s="167">
        <f>IF('Encodage réponses Es'!V36="","",'Encodage réponses Es'!V36)</f>
      </c>
      <c r="AJ37" s="167">
        <f>IF('Encodage réponses Es'!W36="","",'Encodage réponses Es'!W36)</f>
      </c>
      <c r="AK37" s="167">
        <f>IF('Encodage réponses Es'!X36="","",'Encodage réponses Es'!X36)</f>
      </c>
      <c r="AL37" s="167">
        <f>IF('Encodage réponses Es'!Y36="","",'Encodage réponses Es'!Y36)</f>
      </c>
      <c r="AM37" s="167">
        <f>IF('Encodage réponses Es'!Z36="","",'Encodage réponses Es'!Z36)</f>
      </c>
      <c r="AN37" s="167">
        <f>IF('Encodage réponses Es'!AA36="","",'Encodage réponses Es'!AA36)</f>
      </c>
      <c r="AO37" s="358">
        <f t="shared" si="12"/>
      </c>
      <c r="AP37" s="359"/>
      <c r="AQ37" s="55">
        <f t="shared" si="27"/>
      </c>
      <c r="AR37" s="55">
        <f t="shared" si="13"/>
      </c>
      <c r="AS37" s="241">
        <f>IF('Encodage réponses Es'!M36="","",'Encodage réponses Es'!M36)</f>
      </c>
      <c r="AT37" s="167">
        <f>IF('Encodage réponses Es'!N36="","",'Encodage réponses Es'!N36)</f>
      </c>
      <c r="AU37" s="167">
        <f>IF('Encodage réponses Es'!O36="","",'Encodage réponses Es'!O36)</f>
      </c>
      <c r="AV37" s="167">
        <f>IF('Encodage réponses Es'!P36="","",'Encodage réponses Es'!P36)</f>
      </c>
      <c r="AW37" s="358">
        <f t="shared" si="14"/>
      </c>
      <c r="AX37" s="359"/>
      <c r="AY37" s="167">
        <f>IF('Encodage réponses Es'!AB36="","",'Encodage réponses Es'!AB36)</f>
      </c>
      <c r="AZ37" s="167">
        <f>IF('Encodage réponses Es'!AC36="","",'Encodage réponses Es'!AC36)</f>
      </c>
      <c r="BA37" s="167">
        <f>IF('Encodage réponses Es'!AD36="","",'Encodage réponses Es'!AD36)</f>
      </c>
      <c r="BB37" s="167">
        <f>IF('Encodage réponses Es'!AE36="","",'Encodage réponses Es'!AE36)</f>
      </c>
      <c r="BC37" s="167">
        <f>IF('Encodage réponses Es'!AF36="","",'Encodage réponses Es'!AF36)</f>
      </c>
      <c r="BD37" s="167">
        <f>IF('Encodage réponses Es'!AG36="","",'Encodage réponses Es'!AG36)</f>
      </c>
      <c r="BE37" s="167">
        <f>IF('Encodage réponses Es'!AH36="","",'Encodage réponses Es'!AH36)</f>
      </c>
      <c r="BF37" s="167">
        <f>IF('Encodage réponses Es'!AI36="","",'Encodage réponses Es'!AI36)</f>
      </c>
      <c r="BG37" s="55">
        <f t="shared" si="15"/>
      </c>
      <c r="BH37" s="221">
        <f t="shared" si="16"/>
      </c>
      <c r="BI37" s="150">
        <f t="shared" si="17"/>
      </c>
      <c r="BJ37" s="54">
        <f t="shared" si="18"/>
      </c>
      <c r="BK37" s="167">
        <f>IF('Encodage réponses Es'!BQ36="","",'Encodage réponses Es'!BQ36)</f>
      </c>
      <c r="BL37" s="167">
        <f>IF('Encodage réponses Es'!BR36="","",'Encodage réponses Es'!BR36)</f>
      </c>
      <c r="BM37" s="167">
        <f>IF('Encodage réponses Es'!BS36="","",'Encodage réponses Es'!BS36)</f>
      </c>
      <c r="BN37" s="167">
        <f>IF('Encodage réponses Es'!BT36="","",'Encodage réponses Es'!BT36)</f>
      </c>
      <c r="BO37" s="289"/>
      <c r="BP37" s="358">
        <f t="shared" si="19"/>
      </c>
      <c r="BQ37" s="359"/>
      <c r="BR37" s="167">
        <f>IF('Encodage réponses Es'!BV36="","",'Encodage réponses Es'!BV36)</f>
      </c>
      <c r="BS37" s="167">
        <f>IF('Encodage réponses Es'!BW36="","",'Encodage réponses Es'!BW36)</f>
      </c>
      <c r="BT37" s="167">
        <f>IF('Encodage réponses Es'!BX36="","",'Encodage réponses Es'!BX36)</f>
      </c>
      <c r="BU37" s="167">
        <f>IF('Encodage réponses Es'!BY36="","",'Encodage réponses Es'!BY36)</f>
      </c>
      <c r="BV37" s="167">
        <f>IF('Encodage réponses Es'!BZ36="","",'Encodage réponses Es'!BZ36)</f>
      </c>
      <c r="BW37" s="251">
        <f t="shared" si="20"/>
      </c>
      <c r="BX37" s="221">
        <f t="shared" si="21"/>
      </c>
      <c r="BY37" s="167">
        <f>IF('Encodage réponses Es'!CF36="","",'Encodage réponses Es'!CF36)</f>
      </c>
      <c r="BZ37" s="167">
        <f>IF('Encodage réponses Es'!CG36="","",'Encodage réponses Es'!CG36)</f>
      </c>
      <c r="CA37" s="358">
        <f t="shared" si="22"/>
      </c>
      <c r="CB37" s="359"/>
      <c r="CC37" s="167">
        <f>IF('Encodage réponses Es'!CA36="","",'Encodage réponses Es'!CA36)</f>
      </c>
      <c r="CD37" s="167">
        <f>IF('Encodage réponses Es'!CB36="","",'Encodage réponses Es'!CB36)</f>
      </c>
      <c r="CE37" s="167">
        <f>IF('Encodage réponses Es'!CC36="","",'Encodage réponses Es'!CC36)</f>
      </c>
      <c r="CF37" s="167">
        <f>IF('Encodage réponses Es'!CD36="","",'Encodage réponses Es'!CD36)</f>
      </c>
      <c r="CG37" s="167">
        <f>IF('Encodage réponses Es'!CE36="","",'Encodage réponses Es'!CE36)</f>
      </c>
      <c r="CH37" s="330">
        <f t="shared" si="23"/>
      </c>
      <c r="CI37" s="331"/>
      <c r="CJ37" s="167">
        <f>IF('Encodage réponses Es'!AJ36="","",'Encodage réponses Es'!AJ36)</f>
      </c>
      <c r="CK37" s="167">
        <f>IF('Encodage réponses Es'!AK36="","",'Encodage réponses Es'!AK36)</f>
      </c>
      <c r="CL37" s="167">
        <f>IF('Encodage réponses Es'!AL36="","",'Encodage réponses Es'!AL36)</f>
      </c>
      <c r="CM37" s="167">
        <f>IF('Encodage réponses Es'!AM36="","",'Encodage réponses Es'!AM36)</f>
      </c>
      <c r="CN37" s="167">
        <f>IF('Encodage réponses Es'!AN36="","",'Encodage réponses Es'!AN36)</f>
      </c>
      <c r="CO37" s="167">
        <f>IF('Encodage réponses Es'!AO36="","",'Encodage réponses Es'!AO36)</f>
      </c>
      <c r="CP37" s="167">
        <f>IF('Encodage réponses Es'!AP36="","",'Encodage réponses Es'!AP36)</f>
      </c>
      <c r="CQ37" s="167">
        <f>IF('Encodage réponses Es'!AQ36="","",'Encodage réponses Es'!AQ36)</f>
      </c>
      <c r="CR37" s="167">
        <f>IF('Encodage réponses Es'!AR36="","",'Encodage réponses Es'!AR36)</f>
      </c>
      <c r="CS37" s="167">
        <f>IF('Encodage réponses Es'!AS36="","",'Encodage réponses Es'!AS36)</f>
      </c>
      <c r="CT37" s="167">
        <f>IF('Encodage réponses Es'!AT36="","",'Encodage réponses Es'!AT36)</f>
      </c>
      <c r="CU37" s="167">
        <f>IF('Encodage réponses Es'!AU36="","",'Encodage réponses Es'!AU36)</f>
      </c>
      <c r="CV37" s="358">
        <f t="shared" si="24"/>
      </c>
      <c r="CW37" s="359"/>
      <c r="CX37" s="167">
        <f>IF('Encodage réponses Es'!AV36="","",'Encodage réponses Es'!AV36)</f>
      </c>
      <c r="CY37" s="167">
        <f>IF('Encodage réponses Es'!AW36="","",'Encodage réponses Es'!AW36)</f>
      </c>
      <c r="CZ37" s="167">
        <f>IF('Encodage réponses Es'!AX36="","",'Encodage réponses Es'!AX36)</f>
      </c>
      <c r="DA37" s="167">
        <f>IF('Encodage réponses Es'!AY36="","",'Encodage réponses Es'!AY36)</f>
      </c>
      <c r="DB37" s="167">
        <f>IF('Encodage réponses Es'!AZ36="","",'Encodage réponses Es'!AZ36)</f>
      </c>
      <c r="DC37" s="167">
        <f>IF('Encodage réponses Es'!BA36="","",'Encodage réponses Es'!BA36)</f>
      </c>
      <c r="DD37" s="167">
        <f>IF('Encodage réponses Es'!BB36="","",'Encodage réponses Es'!BB36)</f>
      </c>
      <c r="DE37" s="358">
        <f t="shared" si="25"/>
      </c>
      <c r="DF37" s="359"/>
      <c r="DG37" s="167">
        <f>IF('Encodage réponses Es'!BC36="","",'Encodage réponses Es'!BC36)</f>
      </c>
      <c r="DH37" s="167">
        <f>IF('Encodage réponses Es'!BD36="","",'Encodage réponses Es'!BD36)</f>
      </c>
      <c r="DI37" s="167">
        <f>IF('Encodage réponses Es'!BE36="","",'Encodage réponses Es'!BE36)</f>
      </c>
      <c r="DJ37" s="167">
        <f>IF('Encodage réponses Es'!BF36="","",'Encodage réponses Es'!BF36)</f>
      </c>
      <c r="DK37" s="167">
        <f>IF('Encodage réponses Es'!BG36="","",'Encodage réponses Es'!BG36)</f>
      </c>
      <c r="DL37" s="167">
        <f>IF('Encodage réponses Es'!BH36="","",'Encodage réponses Es'!BH36)</f>
      </c>
      <c r="DM37" s="167">
        <f>IF('Encodage réponses Es'!BI36="","",'Encodage réponses Es'!BI36)</f>
      </c>
      <c r="DN37" s="167">
        <f>IF('Encodage réponses Es'!BJ36="","",'Encodage réponses Es'!BJ36)</f>
      </c>
      <c r="DO37" s="167">
        <f>IF('Encodage réponses Es'!BK36="","",'Encodage réponses Es'!BK36)</f>
      </c>
      <c r="DP37" s="167">
        <f>IF('Encodage réponses Es'!BL36="","",'Encodage réponses Es'!BL36)</f>
      </c>
      <c r="DQ37" s="167">
        <f>IF('Encodage réponses Es'!BM36="","",'Encodage réponses Es'!BM36)</f>
      </c>
      <c r="DR37" s="167">
        <f>IF('Encodage réponses Es'!BN36="","",'Encodage réponses Es'!BN36)</f>
      </c>
      <c r="DS37" s="167">
        <f>IF('Encodage réponses Es'!BO36="","",'Encodage réponses Es'!BO36)</f>
      </c>
      <c r="DT37" s="167">
        <f>IF('Encodage réponses Es'!BP36="","",'Encodage réponses Es'!BP36)</f>
      </c>
      <c r="DU37" s="330">
        <f t="shared" si="26"/>
      </c>
      <c r="DV37" s="331"/>
    </row>
    <row r="38" spans="1:126" ht="4.5" customHeight="1">
      <c r="A38" s="118"/>
      <c r="B38" s="118"/>
      <c r="C38" s="118"/>
      <c r="D38" s="160"/>
      <c r="E38" s="26"/>
      <c r="F38" s="30"/>
      <c r="G38" s="30"/>
      <c r="H38" s="30"/>
      <c r="I38" s="26"/>
      <c r="J38" s="26"/>
      <c r="K38" s="30"/>
      <c r="L38" s="26"/>
      <c r="M38" s="30"/>
      <c r="N38" s="26"/>
      <c r="O38" s="30"/>
      <c r="P38" s="26"/>
      <c r="Q38" s="30"/>
      <c r="R38" s="181"/>
      <c r="S38" s="160"/>
      <c r="T38" s="187"/>
      <c r="U38" s="161"/>
      <c r="V38" s="161"/>
      <c r="W38" s="162"/>
      <c r="X38" s="163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2"/>
      <c r="AP38" s="163"/>
      <c r="AQ38" s="162"/>
      <c r="AR38" s="162"/>
      <c r="AS38" s="161"/>
      <c r="AT38" s="161"/>
      <c r="AU38" s="161"/>
      <c r="AV38" s="161"/>
      <c r="AW38" s="162"/>
      <c r="AX38" s="163"/>
      <c r="AY38" s="161"/>
      <c r="AZ38" s="161"/>
      <c r="BA38" s="161"/>
      <c r="BB38" s="161"/>
      <c r="BC38" s="161"/>
      <c r="BD38" s="161"/>
      <c r="BE38" s="161"/>
      <c r="BF38" s="161"/>
      <c r="BG38" s="162"/>
      <c r="BH38" s="222"/>
      <c r="BI38" s="164"/>
      <c r="BJ38" s="165"/>
      <c r="BK38" s="161"/>
      <c r="BL38" s="161"/>
      <c r="BM38" s="161"/>
      <c r="BN38" s="161"/>
      <c r="BO38" s="161"/>
      <c r="BP38" s="162"/>
      <c r="BQ38" s="163"/>
      <c r="BR38" s="161"/>
      <c r="BS38" s="161"/>
      <c r="BT38" s="161"/>
      <c r="BU38" s="161"/>
      <c r="BV38" s="161"/>
      <c r="BW38" s="162"/>
      <c r="BX38" s="163"/>
      <c r="BY38" s="161"/>
      <c r="BZ38" s="161"/>
      <c r="CA38" s="162"/>
      <c r="CB38" s="163"/>
      <c r="CC38" s="161"/>
      <c r="CD38" s="161"/>
      <c r="CE38" s="161"/>
      <c r="CF38" s="161"/>
      <c r="CG38" s="161"/>
      <c r="CH38" s="162"/>
      <c r="CI38" s="162"/>
      <c r="CJ38" s="161"/>
      <c r="CK38" s="161"/>
      <c r="CL38" s="161"/>
      <c r="CM38" s="161"/>
      <c r="CN38" s="161"/>
      <c r="CO38" s="161"/>
      <c r="CP38" s="161"/>
      <c r="CQ38" s="161"/>
      <c r="CR38" s="161"/>
      <c r="CS38" s="161"/>
      <c r="CT38" s="161"/>
      <c r="CU38" s="161"/>
      <c r="CV38" s="162"/>
      <c r="CW38" s="163"/>
      <c r="CX38" s="161"/>
      <c r="CY38" s="161"/>
      <c r="CZ38" s="161"/>
      <c r="DA38" s="161"/>
      <c r="DB38" s="161"/>
      <c r="DC38" s="161"/>
      <c r="DD38" s="161"/>
      <c r="DE38" s="162"/>
      <c r="DF38" s="163"/>
      <c r="DG38" s="161"/>
      <c r="DH38" s="161"/>
      <c r="DI38" s="161"/>
      <c r="DJ38" s="161"/>
      <c r="DK38" s="161"/>
      <c r="DL38" s="161"/>
      <c r="DM38" s="161"/>
      <c r="DN38" s="161"/>
      <c r="DO38" s="161"/>
      <c r="DP38" s="161"/>
      <c r="DQ38" s="161"/>
      <c r="DR38" s="161"/>
      <c r="DS38" s="161"/>
      <c r="DT38" s="161"/>
      <c r="DU38" s="162"/>
      <c r="DV38" s="162"/>
    </row>
    <row r="39" spans="1:126" ht="11.25" customHeight="1">
      <c r="A39" s="166"/>
      <c r="B39" s="4"/>
      <c r="C39" s="118"/>
      <c r="D39" s="86"/>
      <c r="E39" s="68">
        <f>COUNT(E3:E36)</f>
        <v>0</v>
      </c>
      <c r="F39" s="69" t="s">
        <v>71</v>
      </c>
      <c r="G39" s="322"/>
      <c r="H39" s="322"/>
      <c r="I39" s="26"/>
      <c r="J39" s="60">
        <f>COUNT(J3:J36)</f>
        <v>0</v>
      </c>
      <c r="K39" s="70" t="s">
        <v>71</v>
      </c>
      <c r="L39" s="65">
        <f>COUNT(L3:L36)</f>
        <v>0</v>
      </c>
      <c r="M39" s="71" t="s">
        <v>71</v>
      </c>
      <c r="N39" s="66">
        <f>COUNT(N3:N36)</f>
        <v>0</v>
      </c>
      <c r="O39" s="72" t="s">
        <v>71</v>
      </c>
      <c r="P39" s="67">
        <f>COUNT(P3:P36)</f>
        <v>0</v>
      </c>
      <c r="Q39" s="216" t="s">
        <v>71</v>
      </c>
      <c r="R39" s="219"/>
      <c r="S39" s="242" t="s">
        <v>2</v>
      </c>
      <c r="T39" s="188">
        <f>IF('Encodage réponses Es'!E38="","",'Encodage réponses Es'!E38)</f>
        <v>0</v>
      </c>
      <c r="U39" s="188">
        <f>IF('Encodage réponses Es'!F38="","",'Encodage réponses Es'!F38)</f>
        <v>0</v>
      </c>
      <c r="V39" s="188">
        <f>IF('Encodage réponses Es'!G38="","",'Encodage réponses Es'!G38)</f>
        <v>0</v>
      </c>
      <c r="W39" s="61">
        <f>COUNT(W4:W37)</f>
        <v>0</v>
      </c>
      <c r="X39" s="73" t="s">
        <v>71</v>
      </c>
      <c r="Y39" s="101">
        <f>IF('Encodage réponses Es'!H38="","",'Encodage réponses Es'!H38)</f>
        <v>0</v>
      </c>
      <c r="Z39" s="101">
        <f>IF('Encodage réponses Es'!I38="","",'Encodage réponses Es'!I38)</f>
        <v>0</v>
      </c>
      <c r="AA39" s="101">
        <f>IF('Encodage réponses Es'!J38="","",'Encodage réponses Es'!J38)</f>
        <v>0</v>
      </c>
      <c r="AB39" s="101">
        <f>IF('Encodage réponses Es'!K38="","",'Encodage réponses Es'!K38)</f>
        <v>0</v>
      </c>
      <c r="AC39" s="101">
        <f>IF('Encodage réponses Es'!L38="","",'Encodage réponses Es'!L38)</f>
        <v>0</v>
      </c>
      <c r="AD39" s="101">
        <f>IF('Encodage réponses Es'!Q38="","",'Encodage réponses Es'!Q38)</f>
        <v>0</v>
      </c>
      <c r="AE39" s="101">
        <f>IF('Encodage réponses Es'!R38="","",'Encodage réponses Es'!R38)</f>
        <v>0</v>
      </c>
      <c r="AF39" s="101">
        <f>IF('Encodage réponses Es'!S38="","",'Encodage réponses Es'!S38)</f>
        <v>0</v>
      </c>
      <c r="AG39" s="101">
        <f>IF('Encodage réponses Es'!T38="","",'Encodage réponses Es'!T38)</f>
        <v>0</v>
      </c>
      <c r="AH39" s="101">
        <f>IF('Encodage réponses Es'!U38="","",'Encodage réponses Es'!U38)</f>
        <v>0</v>
      </c>
      <c r="AI39" s="101">
        <f>IF('Encodage réponses Es'!V38="","",'Encodage réponses Es'!V38)</f>
        <v>0</v>
      </c>
      <c r="AJ39" s="101">
        <f>IF('Encodage réponses Es'!W38="","",'Encodage réponses Es'!W38)</f>
        <v>0</v>
      </c>
      <c r="AK39" s="101">
        <f>IF('Encodage réponses Es'!X38="","",'Encodage réponses Es'!X38)</f>
        <v>0</v>
      </c>
      <c r="AL39" s="101">
        <f>IF('Encodage réponses Es'!Y38="","",'Encodage réponses Es'!Y38)</f>
        <v>0</v>
      </c>
      <c r="AM39" s="101">
        <f>IF('Encodage réponses Es'!Z38="","",'Encodage réponses Es'!Z38)</f>
        <v>0</v>
      </c>
      <c r="AN39" s="101">
        <f>IF('Encodage réponses Es'!AA38="","",'Encodage réponses Es'!AA38)</f>
        <v>0</v>
      </c>
      <c r="AO39" s="61">
        <f>COUNT(AO4:AO37)</f>
        <v>0</v>
      </c>
      <c r="AP39" s="73" t="s">
        <v>71</v>
      </c>
      <c r="AQ39" s="61">
        <f>COUNT(AQ4:AQ37)</f>
        <v>0</v>
      </c>
      <c r="AR39" s="73" t="s">
        <v>71</v>
      </c>
      <c r="AS39" s="101">
        <f>IF('Encodage réponses Es'!M38="","",'Encodage réponses Es'!M38)</f>
        <v>0</v>
      </c>
      <c r="AT39" s="101">
        <f>IF('Encodage réponses Es'!N38="","",'Encodage réponses Es'!N38)</f>
        <v>0</v>
      </c>
      <c r="AU39" s="101">
        <f>IF('Encodage réponses Es'!O38="","",'Encodage réponses Es'!O38)</f>
        <v>0</v>
      </c>
      <c r="AV39" s="101">
        <f>IF('Encodage réponses Es'!P38="","",'Encodage réponses Es'!P38)</f>
        <v>0</v>
      </c>
      <c r="AW39" s="61">
        <f>COUNT(AW4:AW37)</f>
        <v>0</v>
      </c>
      <c r="AX39" s="73" t="s">
        <v>71</v>
      </c>
      <c r="AY39" s="101">
        <f>IF('Encodage réponses Es'!AB38="","",'Encodage réponses Es'!AB38)</f>
        <v>0</v>
      </c>
      <c r="AZ39" s="101">
        <f>IF('Encodage réponses Es'!AC38="","",'Encodage réponses Es'!AC38)</f>
        <v>0</v>
      </c>
      <c r="BA39" s="101">
        <f>IF('Encodage réponses Es'!AD38="","",'Encodage réponses Es'!AD38)</f>
        <v>0</v>
      </c>
      <c r="BB39" s="101">
        <f>IF('Encodage réponses Es'!AE38="","",'Encodage réponses Es'!AE38)</f>
        <v>0</v>
      </c>
      <c r="BC39" s="101">
        <f>IF('Encodage réponses Es'!AF38="","",'Encodage réponses Es'!AF38)</f>
        <v>0</v>
      </c>
      <c r="BD39" s="101">
        <f>IF('Encodage réponses Es'!AG38="","",'Encodage réponses Es'!AG38)</f>
        <v>0</v>
      </c>
      <c r="BE39" s="101">
        <f>IF('Encodage réponses Es'!AH38="","",'Encodage réponses Es'!AH38)</f>
        <v>0</v>
      </c>
      <c r="BF39" s="101">
        <f>IF('Encodage réponses Es'!AI38="","",'Encodage réponses Es'!AI38)</f>
        <v>0</v>
      </c>
      <c r="BG39" s="61">
        <f>COUNT(BG4:BG37)</f>
        <v>0</v>
      </c>
      <c r="BH39" s="73" t="s">
        <v>71</v>
      </c>
      <c r="BI39" s="61">
        <f>COUNT(BI4:BI37)</f>
        <v>0</v>
      </c>
      <c r="BJ39" s="73" t="s">
        <v>71</v>
      </c>
      <c r="BK39" s="101">
        <f>IF('Encodage réponses Es'!BQ38="","",'Encodage réponses Es'!BQ38)</f>
        <v>0</v>
      </c>
      <c r="BL39" s="101">
        <f>IF('Encodage réponses Es'!BR38="","",'Encodage réponses Es'!BR38)</f>
        <v>0</v>
      </c>
      <c r="BM39" s="101">
        <f>IF('Encodage réponses Es'!BS38="","",'Encodage réponses Es'!BS38)</f>
        <v>0</v>
      </c>
      <c r="BN39" s="101">
        <f>IF('Encodage réponses Es'!BT38="","",'Encodage réponses Es'!BT38)</f>
        <v>0</v>
      </c>
      <c r="BO39" s="101">
        <f>IF('Encodage réponses Es'!BU38="","",'Encodage réponses Es'!BU38)</f>
        <v>0</v>
      </c>
      <c r="BP39" s="74">
        <f>COUNT(BP4:BP37)</f>
        <v>0</v>
      </c>
      <c r="BQ39" s="135" t="s">
        <v>71</v>
      </c>
      <c r="BR39" s="101">
        <f>IF('Encodage réponses Es'!BV38="","",'Encodage réponses Es'!BV38)</f>
        <v>0</v>
      </c>
      <c r="BS39" s="101">
        <f>IF('Encodage réponses Es'!BW38="","",'Encodage réponses Es'!BW38)</f>
        <v>0</v>
      </c>
      <c r="BT39" s="101">
        <f>IF('Encodage réponses Es'!BX38="","",'Encodage réponses Es'!BX38)</f>
        <v>0</v>
      </c>
      <c r="BU39" s="101">
        <f>IF('Encodage réponses Es'!BY38="","",'Encodage réponses Es'!BY38)</f>
        <v>0</v>
      </c>
      <c r="BV39" s="101">
        <f>IF('Encodage réponses Es'!BZ38="","",'Encodage réponses Es'!BZ38)</f>
        <v>0</v>
      </c>
      <c r="BW39" s="74">
        <f>COUNT(BW4:BW37)</f>
        <v>0</v>
      </c>
      <c r="BX39" s="135" t="s">
        <v>71</v>
      </c>
      <c r="BY39" s="101">
        <f>IF('Encodage réponses Es'!CF38="","",'Encodage réponses Es'!CF38)</f>
        <v>0</v>
      </c>
      <c r="BZ39" s="101">
        <f>IF('Encodage réponses Es'!CG38="","",'Encodage réponses Es'!CG38)</f>
        <v>0</v>
      </c>
      <c r="CA39" s="74">
        <f>COUNT(CA4:CA37)</f>
        <v>0</v>
      </c>
      <c r="CB39" s="135" t="s">
        <v>71</v>
      </c>
      <c r="CC39" s="101">
        <f>IF('Encodage réponses Es'!CA38="","",'Encodage réponses Es'!CA38)</f>
        <v>0</v>
      </c>
      <c r="CD39" s="101">
        <f>IF('Encodage réponses Es'!CB38="","",'Encodage réponses Es'!CB38)</f>
        <v>0</v>
      </c>
      <c r="CE39" s="101">
        <f>IF('Encodage réponses Es'!CC38="","",'Encodage réponses Es'!CC38)</f>
        <v>0</v>
      </c>
      <c r="CF39" s="101">
        <f>IF('Encodage réponses Es'!CD38="","",'Encodage réponses Es'!CD38)</f>
        <v>0</v>
      </c>
      <c r="CG39" s="101">
        <f>IF('Encodage réponses Es'!CE38="","",'Encodage réponses Es'!CE38)</f>
        <v>0</v>
      </c>
      <c r="CH39" s="74">
        <f>COUNT(CH4:CH37)</f>
        <v>0</v>
      </c>
      <c r="CI39" s="136" t="s">
        <v>71</v>
      </c>
      <c r="CJ39" s="101">
        <f>IF('Encodage réponses Es'!AJ38="","",'Encodage réponses Es'!AJ38)</f>
        <v>0</v>
      </c>
      <c r="CK39" s="101">
        <f>IF('Encodage réponses Es'!AK38="","",'Encodage réponses Es'!AK38)</f>
        <v>0</v>
      </c>
      <c r="CL39" s="101">
        <f>IF('Encodage réponses Es'!AL38="","",'Encodage réponses Es'!AL38)</f>
        <v>0</v>
      </c>
      <c r="CM39" s="101">
        <f>IF('Encodage réponses Es'!AM38="","",'Encodage réponses Es'!AM38)</f>
        <v>0</v>
      </c>
      <c r="CN39" s="101">
        <f>IF('Encodage réponses Es'!AN38="","",'Encodage réponses Es'!AN38)</f>
        <v>0</v>
      </c>
      <c r="CO39" s="101">
        <f>IF('Encodage réponses Es'!AO38="","",'Encodage réponses Es'!AO38)</f>
        <v>0</v>
      </c>
      <c r="CP39" s="101">
        <f>IF('Encodage réponses Es'!AP38="","",'Encodage réponses Es'!AP38)</f>
        <v>0</v>
      </c>
      <c r="CQ39" s="101">
        <f>IF('Encodage réponses Es'!AQ38="","",'Encodage réponses Es'!AQ38)</f>
        <v>0</v>
      </c>
      <c r="CR39" s="101">
        <f>IF('Encodage réponses Es'!AR38="","",'Encodage réponses Es'!AR38)</f>
        <v>0</v>
      </c>
      <c r="CS39" s="101">
        <f>IF('Encodage réponses Es'!AS38="","",'Encodage réponses Es'!AS38)</f>
        <v>0</v>
      </c>
      <c r="CT39" s="101">
        <f>IF('Encodage réponses Es'!AT38="","",'Encodage réponses Es'!AT38)</f>
        <v>0</v>
      </c>
      <c r="CU39" s="101">
        <f>IF('Encodage réponses Es'!AU38="","",'Encodage réponses Es'!AU38)</f>
        <v>0</v>
      </c>
      <c r="CV39" s="75">
        <f>COUNT(CV4:CV37)</f>
        <v>0</v>
      </c>
      <c r="CW39" s="139" t="s">
        <v>71</v>
      </c>
      <c r="CX39" s="101">
        <f>IF('Encodage réponses Es'!AV38="","",'Encodage réponses Es'!AV38)</f>
        <v>0</v>
      </c>
      <c r="CY39" s="101">
        <f>IF('Encodage réponses Es'!AW38="","",'Encodage réponses Es'!AW38)</f>
        <v>0</v>
      </c>
      <c r="CZ39" s="101">
        <f>IF('Encodage réponses Es'!AX38="","",'Encodage réponses Es'!AX38)</f>
        <v>0</v>
      </c>
      <c r="DA39" s="101">
        <f>IF('Encodage réponses Es'!AY38="","",'Encodage réponses Es'!AY38)</f>
        <v>0</v>
      </c>
      <c r="DB39" s="101">
        <f>IF('Encodage réponses Es'!AZ38="","",'Encodage réponses Es'!AZ38)</f>
        <v>0</v>
      </c>
      <c r="DC39" s="101">
        <f>IF('Encodage réponses Es'!BA38="","",'Encodage réponses Es'!BA38)</f>
        <v>0</v>
      </c>
      <c r="DD39" s="101">
        <f>IF('Encodage réponses Es'!BB38="","",'Encodage réponses Es'!BB38)</f>
        <v>0</v>
      </c>
      <c r="DE39" s="75">
        <f>COUNT(DE4:DE37)</f>
        <v>0</v>
      </c>
      <c r="DF39" s="139" t="s">
        <v>71</v>
      </c>
      <c r="DG39" s="101">
        <f>IF('Encodage réponses Es'!BC38="","",'Encodage réponses Es'!BC38)</f>
        <v>0</v>
      </c>
      <c r="DH39" s="101">
        <f>IF('Encodage réponses Es'!BD38="","",'Encodage réponses Es'!BD38)</f>
        <v>0</v>
      </c>
      <c r="DI39" s="101">
        <f>IF('Encodage réponses Es'!BE38="","",'Encodage réponses Es'!BE38)</f>
        <v>0</v>
      </c>
      <c r="DJ39" s="101">
        <f>IF('Encodage réponses Es'!BF38="","",'Encodage réponses Es'!BF38)</f>
        <v>0</v>
      </c>
      <c r="DK39" s="101">
        <f>IF('Encodage réponses Es'!BG38="","",'Encodage réponses Es'!BG38)</f>
        <v>0</v>
      </c>
      <c r="DL39" s="101">
        <f>IF('Encodage réponses Es'!BH38="","",'Encodage réponses Es'!BH38)</f>
        <v>0</v>
      </c>
      <c r="DM39" s="101">
        <f>IF('Encodage réponses Es'!BI38="","",'Encodage réponses Es'!BI38)</f>
        <v>0</v>
      </c>
      <c r="DN39" s="101">
        <f>IF('Encodage réponses Es'!BJ38="","",'Encodage réponses Es'!BJ38)</f>
        <v>0</v>
      </c>
      <c r="DO39" s="101">
        <f>IF('Encodage réponses Es'!BK38="","",'Encodage réponses Es'!BK38)</f>
        <v>0</v>
      </c>
      <c r="DP39" s="101">
        <f>IF('Encodage réponses Es'!BL38="","",'Encodage réponses Es'!BL38)</f>
        <v>0</v>
      </c>
      <c r="DQ39" s="101">
        <f>IF('Encodage réponses Es'!BM38="","",'Encodage réponses Es'!BM38)</f>
        <v>0</v>
      </c>
      <c r="DR39" s="101">
        <f>IF('Encodage réponses Es'!BN38="","",'Encodage réponses Es'!BN38)</f>
        <v>0</v>
      </c>
      <c r="DS39" s="101">
        <f>IF('Encodage réponses Es'!BO38="","",'Encodage réponses Es'!BO38)</f>
        <v>0</v>
      </c>
      <c r="DT39" s="101">
        <f>IF('Encodage réponses Es'!BP38="","",'Encodage réponses Es'!BP38)</f>
        <v>0</v>
      </c>
      <c r="DU39" s="76">
        <f>COUNT(DU4:DU37)</f>
        <v>0</v>
      </c>
      <c r="DV39" s="143" t="s">
        <v>71</v>
      </c>
    </row>
    <row r="40" spans="1:126" ht="11.25" customHeight="1">
      <c r="A40" s="118"/>
      <c r="B40" s="4"/>
      <c r="C40" s="118"/>
      <c r="D40" s="86"/>
      <c r="E40" s="64" t="s">
        <v>81</v>
      </c>
      <c r="F40" s="310">
        <f>IF(E39=0,"",STDEVP(F4:F37)/100)</f>
      </c>
      <c r="G40" s="325"/>
      <c r="H40" s="325"/>
      <c r="I40" s="26"/>
      <c r="J40" s="60" t="s">
        <v>81</v>
      </c>
      <c r="K40" s="312">
        <f>IF(J39=0,"",STDEVP(K4:K37)/100)</f>
      </c>
      <c r="L40" s="65" t="s">
        <v>81</v>
      </c>
      <c r="M40" s="313">
        <f>IF(L39=0,"",STDEVP(M4:M37)/100)</f>
      </c>
      <c r="N40" s="66" t="s">
        <v>81</v>
      </c>
      <c r="O40" s="314">
        <f>IF(N39=0,"",STDEVP(O4:O37)/100)</f>
      </c>
      <c r="P40" s="67" t="s">
        <v>81</v>
      </c>
      <c r="Q40" s="315">
        <f>IF(P39=0,"",STDEVP(Q4:Q37)/100)</f>
      </c>
      <c r="R40" s="181"/>
      <c r="S40" s="243" t="s">
        <v>13</v>
      </c>
      <c r="T40" s="188">
        <f>IF('Encodage réponses Es'!E39="","",'Encodage réponses Es'!E39)</f>
        <v>0</v>
      </c>
      <c r="U40" s="188">
        <f>IF('Encodage réponses Es'!F39="","",'Encodage réponses Es'!F39)</f>
        <v>0</v>
      </c>
      <c r="V40" s="188">
        <f>IF('Encodage réponses Es'!G39="","",'Encodage réponses Es'!G39)</f>
        <v>0</v>
      </c>
      <c r="W40" s="60" t="s">
        <v>81</v>
      </c>
      <c r="X40" s="316">
        <f>IF(W39=0,"",STDEVP(W4:W37)/RIGHT(W2))</f>
      </c>
      <c r="Y40" s="101">
        <f>IF('Encodage réponses Es'!H39="","",'Encodage réponses Es'!H39)</f>
        <v>0</v>
      </c>
      <c r="Z40" s="101">
        <f>IF('Encodage réponses Es'!I39="","",'Encodage réponses Es'!I39)</f>
        <v>0</v>
      </c>
      <c r="AA40" s="101">
        <f>IF('Encodage réponses Es'!J39="","",'Encodage réponses Es'!J39)</f>
        <v>0</v>
      </c>
      <c r="AB40" s="101">
        <f>IF('Encodage réponses Es'!K39="","",'Encodage réponses Es'!K39)</f>
        <v>0</v>
      </c>
      <c r="AC40" s="101">
        <f>IF('Encodage réponses Es'!L39="","",'Encodage réponses Es'!L39)</f>
        <v>0</v>
      </c>
      <c r="AD40" s="101">
        <f>IF('Encodage réponses Es'!Q39="","",'Encodage réponses Es'!Q39)</f>
        <v>0</v>
      </c>
      <c r="AE40" s="101">
        <f>IF('Encodage réponses Es'!R39="","",'Encodage réponses Es'!R39)</f>
        <v>0</v>
      </c>
      <c r="AF40" s="101">
        <f>IF('Encodage réponses Es'!S39="","",'Encodage réponses Es'!S39)</f>
        <v>0</v>
      </c>
      <c r="AG40" s="101">
        <f>IF('Encodage réponses Es'!T39="","",'Encodage réponses Es'!T39)</f>
        <v>0</v>
      </c>
      <c r="AH40" s="101">
        <f>IF('Encodage réponses Es'!U39="","",'Encodage réponses Es'!U39)</f>
        <v>0</v>
      </c>
      <c r="AI40" s="101">
        <f>IF('Encodage réponses Es'!V39="","",'Encodage réponses Es'!V39)</f>
        <v>0</v>
      </c>
      <c r="AJ40" s="101">
        <f>IF('Encodage réponses Es'!W39="","",'Encodage réponses Es'!W39)</f>
        <v>0</v>
      </c>
      <c r="AK40" s="101">
        <f>IF('Encodage réponses Es'!X39="","",'Encodage réponses Es'!X39)</f>
        <v>0</v>
      </c>
      <c r="AL40" s="101">
        <f>IF('Encodage réponses Es'!Y39="","",'Encodage réponses Es'!Y39)</f>
        <v>0</v>
      </c>
      <c r="AM40" s="101">
        <f>IF('Encodage réponses Es'!Z39="","",'Encodage réponses Es'!Z39)</f>
        <v>0</v>
      </c>
      <c r="AN40" s="101">
        <f>IF('Encodage réponses Es'!AA39="","",'Encodage réponses Es'!AA39)</f>
        <v>0</v>
      </c>
      <c r="AO40" s="60" t="s">
        <v>81</v>
      </c>
      <c r="AP40" s="316">
        <f>IF(AO39=0,"",STDEVP(AO4:AO37)/RIGHT(AO2,2))</f>
      </c>
      <c r="AQ40" s="57" t="s">
        <v>81</v>
      </c>
      <c r="AR40" s="316">
        <f>IF(AQ39=0,"",STDEVP(AQ4:AQ37)/RIGHT(AQ3,2))</f>
      </c>
      <c r="AS40" s="101">
        <f>IF('Encodage réponses Es'!M39="","",'Encodage réponses Es'!M39)</f>
        <v>0</v>
      </c>
      <c r="AT40" s="101">
        <f>IF('Encodage réponses Es'!N39="","",'Encodage réponses Es'!N39)</f>
        <v>0</v>
      </c>
      <c r="AU40" s="101">
        <f>IF('Encodage réponses Es'!O39="","",'Encodage réponses Es'!O39)</f>
        <v>0</v>
      </c>
      <c r="AV40" s="101">
        <f>IF('Encodage réponses Es'!P39="","",'Encodage réponses Es'!P39)</f>
        <v>0</v>
      </c>
      <c r="AW40" s="59" t="s">
        <v>81</v>
      </c>
      <c r="AX40" s="316">
        <f>IF(AW39=0,"",STDEVP(AW4:AW37)/RIGHT(AW2))</f>
      </c>
      <c r="AY40" s="101">
        <f>IF('Encodage réponses Es'!AB39="","",'Encodage réponses Es'!AB39)</f>
        <v>0</v>
      </c>
      <c r="AZ40" s="101">
        <f>IF('Encodage réponses Es'!AC39="","",'Encodage réponses Es'!AC39)</f>
        <v>0</v>
      </c>
      <c r="BA40" s="101">
        <f>IF('Encodage réponses Es'!AD39="","",'Encodage réponses Es'!AD39)</f>
        <v>0</v>
      </c>
      <c r="BB40" s="101">
        <f>IF('Encodage réponses Es'!AE39="","",'Encodage réponses Es'!AE39)</f>
        <v>0</v>
      </c>
      <c r="BC40" s="101">
        <f>IF('Encodage réponses Es'!AF39="","",'Encodage réponses Es'!AF39)</f>
        <v>0</v>
      </c>
      <c r="BD40" s="101">
        <f>IF('Encodage réponses Es'!AG39="","",'Encodage réponses Es'!AG39)</f>
        <v>0</v>
      </c>
      <c r="BE40" s="101">
        <f>IF('Encodage réponses Es'!AH39="","",'Encodage réponses Es'!AH39)</f>
        <v>0</v>
      </c>
      <c r="BF40" s="101">
        <f>IF('Encodage réponses Es'!AI39="","",'Encodage réponses Es'!AI39)</f>
        <v>0</v>
      </c>
      <c r="BG40" s="58" t="s">
        <v>81</v>
      </c>
      <c r="BH40" s="316">
        <f>IF(BG39=0,"",STDEVP(BG4:BG37)/RIGHT(BG2))</f>
      </c>
      <c r="BI40" s="56" t="s">
        <v>81</v>
      </c>
      <c r="BJ40" s="316">
        <f>IF(BI39=0,"",STDEVP(BI4:BI37)/RIGHT(BI3,2))</f>
      </c>
      <c r="BK40" s="101">
        <f>IF('Encodage réponses Es'!BQ39="","",'Encodage réponses Es'!BQ39)</f>
        <v>0</v>
      </c>
      <c r="BL40" s="101">
        <f>IF('Encodage réponses Es'!BR39="","",'Encodage réponses Es'!BR39)</f>
        <v>0</v>
      </c>
      <c r="BM40" s="101">
        <f>IF('Encodage réponses Es'!BS39="","",'Encodage réponses Es'!BS39)</f>
        <v>0</v>
      </c>
      <c r="BN40" s="101">
        <f>IF('Encodage réponses Es'!BT39="","",'Encodage réponses Es'!BT39)</f>
        <v>0</v>
      </c>
      <c r="BO40" s="101">
        <f>IF('Encodage réponses Es'!BU39="","",'Encodage réponses Es'!BU39)</f>
        <v>0</v>
      </c>
      <c r="BP40" s="131" t="s">
        <v>81</v>
      </c>
      <c r="BQ40" s="317">
        <f>IF(BP39=0,"",STDEVP(BP4:BP37)/RIGHT(BP2))</f>
      </c>
      <c r="BR40" s="101">
        <f>IF('Encodage réponses Es'!BV39="","",'Encodage réponses Es'!BV39)</f>
        <v>0</v>
      </c>
      <c r="BS40" s="101">
        <f>IF('Encodage réponses Es'!BW39="","",'Encodage réponses Es'!BW39)</f>
        <v>0</v>
      </c>
      <c r="BT40" s="101">
        <f>IF('Encodage réponses Es'!BX39="","",'Encodage réponses Es'!BX39)</f>
        <v>0</v>
      </c>
      <c r="BU40" s="101">
        <f>IF('Encodage réponses Es'!BY39="","",'Encodage réponses Es'!BY39)</f>
        <v>0</v>
      </c>
      <c r="BV40" s="101">
        <f>IF('Encodage réponses Es'!BZ39="","",'Encodage réponses Es'!BZ39)</f>
        <v>0</v>
      </c>
      <c r="BW40" s="133" t="s">
        <v>81</v>
      </c>
      <c r="BX40" s="317">
        <f>IF(BW39=0,"",STDEVP(BW4:BW37)/RIGHT(BW2))</f>
      </c>
      <c r="BY40" s="101">
        <f>IF('Encodage réponses Es'!CF39="","",'Encodage réponses Es'!CF39)</f>
        <v>0</v>
      </c>
      <c r="BZ40" s="101">
        <f>IF('Encodage réponses Es'!CG39="","",'Encodage réponses Es'!CG39)</f>
        <v>0</v>
      </c>
      <c r="CA40" s="133" t="s">
        <v>81</v>
      </c>
      <c r="CB40" s="317">
        <f>IF(CA39=0,"",STDEVP(CA4:CA37)/RIGHT(CA2))</f>
      </c>
      <c r="CC40" s="101">
        <f>IF('Encodage réponses Es'!CA39="","",'Encodage réponses Es'!CA39)</f>
        <v>0</v>
      </c>
      <c r="CD40" s="101">
        <f>IF('Encodage réponses Es'!CB39="","",'Encodage réponses Es'!CB39)</f>
        <v>0</v>
      </c>
      <c r="CE40" s="101">
        <f>IF('Encodage réponses Es'!CC39="","",'Encodage réponses Es'!CC39)</f>
        <v>0</v>
      </c>
      <c r="CF40" s="101">
        <f>IF('Encodage réponses Es'!CD39="","",'Encodage réponses Es'!CD39)</f>
        <v>0</v>
      </c>
      <c r="CG40" s="101">
        <f>IF('Encodage réponses Es'!CE39="","",'Encodage réponses Es'!CE39)</f>
        <v>0</v>
      </c>
      <c r="CH40" s="133" t="s">
        <v>81</v>
      </c>
      <c r="CI40" s="317">
        <f>IF(CH39=0,"",STDEVP(CH4:CH37)/RIGHT(CH2))</f>
      </c>
      <c r="CJ40" s="101">
        <f>IF('Encodage réponses Es'!AJ39="","",'Encodage réponses Es'!AJ39)</f>
        <v>0</v>
      </c>
      <c r="CK40" s="101">
        <f>IF('Encodage réponses Es'!AK39="","",'Encodage réponses Es'!AK39)</f>
        <v>0</v>
      </c>
      <c r="CL40" s="101">
        <f>IF('Encodage réponses Es'!AL39="","",'Encodage réponses Es'!AL39)</f>
        <v>0</v>
      </c>
      <c r="CM40" s="101">
        <f>IF('Encodage réponses Es'!AM39="","",'Encodage réponses Es'!AM39)</f>
        <v>0</v>
      </c>
      <c r="CN40" s="101">
        <f>IF('Encodage réponses Es'!AN39="","",'Encodage réponses Es'!AN39)</f>
        <v>0</v>
      </c>
      <c r="CO40" s="101">
        <f>IF('Encodage réponses Es'!AO39="","",'Encodage réponses Es'!AO39)</f>
        <v>0</v>
      </c>
      <c r="CP40" s="101">
        <f>IF('Encodage réponses Es'!AP39="","",'Encodage réponses Es'!AP39)</f>
        <v>0</v>
      </c>
      <c r="CQ40" s="101">
        <f>IF('Encodage réponses Es'!AQ39="","",'Encodage réponses Es'!AQ39)</f>
        <v>0</v>
      </c>
      <c r="CR40" s="101">
        <f>IF('Encodage réponses Es'!AR39="","",'Encodage réponses Es'!AR39)</f>
        <v>0</v>
      </c>
      <c r="CS40" s="101">
        <f>IF('Encodage réponses Es'!AS39="","",'Encodage réponses Es'!AS39)</f>
        <v>0</v>
      </c>
      <c r="CT40" s="101">
        <f>IF('Encodage réponses Es'!AT39="","",'Encodage réponses Es'!AT39)</f>
        <v>0</v>
      </c>
      <c r="CU40" s="101">
        <f>IF('Encodage réponses Es'!AU39="","",'Encodage réponses Es'!AU39)</f>
        <v>0</v>
      </c>
      <c r="CV40" s="138" t="s">
        <v>81</v>
      </c>
      <c r="CW40" s="318">
        <f>IF(CV39=0,"",STDEVP(CV4:CV37)/RIGHT(CV2,2))</f>
      </c>
      <c r="CX40" s="101">
        <f>IF('Encodage réponses Es'!AV39="","",'Encodage réponses Es'!AV39)</f>
        <v>0</v>
      </c>
      <c r="CY40" s="101">
        <f>IF('Encodage réponses Es'!AW39="","",'Encodage réponses Es'!AW39)</f>
        <v>0</v>
      </c>
      <c r="CZ40" s="101">
        <f>IF('Encodage réponses Es'!AX39="","",'Encodage réponses Es'!AX39)</f>
        <v>0</v>
      </c>
      <c r="DA40" s="101">
        <f>IF('Encodage réponses Es'!AY39="","",'Encodage réponses Es'!AY39)</f>
        <v>0</v>
      </c>
      <c r="DB40" s="101">
        <f>IF('Encodage réponses Es'!AZ39="","",'Encodage réponses Es'!AZ39)</f>
        <v>0</v>
      </c>
      <c r="DC40" s="101">
        <f>IF('Encodage réponses Es'!BA39="","",'Encodage réponses Es'!BA39)</f>
        <v>0</v>
      </c>
      <c r="DD40" s="101">
        <f>IF('Encodage réponses Es'!BB39="","",'Encodage réponses Es'!BB39)</f>
        <v>0</v>
      </c>
      <c r="DE40" s="138" t="s">
        <v>81</v>
      </c>
      <c r="DF40" s="318">
        <f>IF(DE39=0,"",STDEVP(DE4:DE37)/RIGHT(DE2))</f>
      </c>
      <c r="DG40" s="101">
        <f>IF('Encodage réponses Es'!BC39="","",'Encodage réponses Es'!BC39)</f>
        <v>0</v>
      </c>
      <c r="DH40" s="101">
        <f>IF('Encodage réponses Es'!BD39="","",'Encodage réponses Es'!BD39)</f>
        <v>0</v>
      </c>
      <c r="DI40" s="101">
        <f>IF('Encodage réponses Es'!BE39="","",'Encodage réponses Es'!BE39)</f>
        <v>0</v>
      </c>
      <c r="DJ40" s="101">
        <f>IF('Encodage réponses Es'!BF39="","",'Encodage réponses Es'!BF39)</f>
        <v>0</v>
      </c>
      <c r="DK40" s="101">
        <f>IF('Encodage réponses Es'!BG39="","",'Encodage réponses Es'!BG39)</f>
        <v>0</v>
      </c>
      <c r="DL40" s="101">
        <f>IF('Encodage réponses Es'!BH39="","",'Encodage réponses Es'!BH39)</f>
        <v>0</v>
      </c>
      <c r="DM40" s="101">
        <f>IF('Encodage réponses Es'!BI39="","",'Encodage réponses Es'!BI39)</f>
        <v>0</v>
      </c>
      <c r="DN40" s="101">
        <f>IF('Encodage réponses Es'!BJ39="","",'Encodage réponses Es'!BJ39)</f>
        <v>0</v>
      </c>
      <c r="DO40" s="101">
        <f>IF('Encodage réponses Es'!BK39="","",'Encodage réponses Es'!BK39)</f>
        <v>0</v>
      </c>
      <c r="DP40" s="101">
        <f>IF('Encodage réponses Es'!BL39="","",'Encodage réponses Es'!BL39)</f>
        <v>0</v>
      </c>
      <c r="DQ40" s="101">
        <f>IF('Encodage réponses Es'!BM39="","",'Encodage réponses Es'!BM39)</f>
        <v>0</v>
      </c>
      <c r="DR40" s="101">
        <f>IF('Encodage réponses Es'!BN39="","",'Encodage réponses Es'!BN39)</f>
        <v>0</v>
      </c>
      <c r="DS40" s="101">
        <f>IF('Encodage réponses Es'!BO39="","",'Encodage réponses Es'!BO39)</f>
        <v>0</v>
      </c>
      <c r="DT40" s="101">
        <f>IF('Encodage réponses Es'!BP39="","",'Encodage réponses Es'!BP39)</f>
        <v>0</v>
      </c>
      <c r="DU40" s="141" t="s">
        <v>81</v>
      </c>
      <c r="DV40" s="319">
        <f>IF(DU39=0,"",STDEVP(DU4:DU37)/RIGHT(DU2,2))</f>
      </c>
    </row>
    <row r="41" spans="1:126" ht="11.25" customHeight="1">
      <c r="A41" s="118"/>
      <c r="B41" s="4"/>
      <c r="C41" s="118"/>
      <c r="D41" s="86"/>
      <c r="E41" s="417" t="s">
        <v>105</v>
      </c>
      <c r="F41" s="418">
        <f>IF(E39=0,"",AVERAGE(F4:F37)/100)</f>
      </c>
      <c r="G41" s="325"/>
      <c r="H41" s="325"/>
      <c r="I41" s="26"/>
      <c r="J41" s="419" t="s">
        <v>105</v>
      </c>
      <c r="K41" s="420">
        <f>IF(J39=0,"",AVERAGE(K4:K37)/100)</f>
      </c>
      <c r="L41" s="421" t="s">
        <v>105</v>
      </c>
      <c r="M41" s="422">
        <f>IF(L39=0,"",AVERAGE(M4:M37)/100)</f>
      </c>
      <c r="N41" s="423" t="s">
        <v>105</v>
      </c>
      <c r="O41" s="424">
        <f>IF(N39=0,"",AVERAGE(O4:O37)/100)</f>
      </c>
      <c r="P41" s="425" t="s">
        <v>105</v>
      </c>
      <c r="Q41" s="426">
        <f>IF(P39=0,"",AVERAGE(Q4:Q37)/100)</f>
      </c>
      <c r="R41" s="181"/>
      <c r="S41" s="243" t="s">
        <v>57</v>
      </c>
      <c r="T41" s="198">
        <f>IF('Encodage réponses Es'!E40="","",'Encodage réponses Es'!E40)</f>
      </c>
      <c r="U41" s="198">
        <f>IF('Encodage réponses Es'!F40="","",'Encodage réponses Es'!F40)</f>
      </c>
      <c r="V41" s="198">
        <f>IF('Encodage réponses Es'!G40="","",'Encodage réponses Es'!G40)</f>
      </c>
      <c r="W41" s="60" t="s">
        <v>105</v>
      </c>
      <c r="X41" s="316">
        <f>IF(W39=0,"",AVERAGE(W4:W37)/RIGHT(W2))</f>
      </c>
      <c r="Y41" s="199">
        <f>IF('Encodage réponses Es'!H40="","",'Encodage réponses Es'!H40)</f>
      </c>
      <c r="Z41" s="199">
        <f>IF('Encodage réponses Es'!I40="","",'Encodage réponses Es'!I40)</f>
      </c>
      <c r="AA41" s="199">
        <f>IF('Encodage réponses Es'!J40="","",'Encodage réponses Es'!J40)</f>
      </c>
      <c r="AB41" s="199">
        <f>IF('Encodage réponses Es'!K40="","",'Encodage réponses Es'!K40)</f>
      </c>
      <c r="AC41" s="199">
        <f>IF('Encodage réponses Es'!L40="","",'Encodage réponses Es'!L40)</f>
      </c>
      <c r="AD41" s="199">
        <f>IF('Encodage réponses Es'!Q40="","",'Encodage réponses Es'!Q40)</f>
      </c>
      <c r="AE41" s="199">
        <f>IF('Encodage réponses Es'!R40="","",'Encodage réponses Es'!R40)</f>
      </c>
      <c r="AF41" s="199">
        <f>IF('Encodage réponses Es'!S40="","",'Encodage réponses Es'!S40)</f>
      </c>
      <c r="AG41" s="199">
        <f>IF('Encodage réponses Es'!T40="","",'Encodage réponses Es'!T40)</f>
      </c>
      <c r="AH41" s="199">
        <f>IF('Encodage réponses Es'!U40="","",'Encodage réponses Es'!U40)</f>
      </c>
      <c r="AI41" s="199">
        <f>IF('Encodage réponses Es'!V40="","",'Encodage réponses Es'!V40)</f>
      </c>
      <c r="AJ41" s="199">
        <f>IF('Encodage réponses Es'!W40="","",'Encodage réponses Es'!W40)</f>
      </c>
      <c r="AK41" s="199">
        <f>IF('Encodage réponses Es'!X40="","",'Encodage réponses Es'!X40)</f>
      </c>
      <c r="AL41" s="199">
        <f>IF('Encodage réponses Es'!Y40="","",'Encodage réponses Es'!Y40)</f>
      </c>
      <c r="AM41" s="199">
        <f>IF('Encodage réponses Es'!Z40="","",'Encodage réponses Es'!Z40)</f>
      </c>
      <c r="AN41" s="199">
        <f>IF('Encodage réponses Es'!AA40="","",'Encodage réponses Es'!AA40)</f>
      </c>
      <c r="AO41" s="60" t="s">
        <v>105</v>
      </c>
      <c r="AP41" s="316">
        <f>IF(AO39=0,"",AVERAGE(AO4:AO37)/RIGHT(AO2,2))</f>
      </c>
      <c r="AQ41" s="415" t="s">
        <v>105</v>
      </c>
      <c r="AR41" s="413">
        <f>IF(AQ39=0,"",AVERAGE(AQ4:AQ37)/RIGHT(AQ3,2))</f>
      </c>
      <c r="AS41" s="199">
        <f>IF('Encodage réponses Es'!M40="","",'Encodage réponses Es'!M40)</f>
      </c>
      <c r="AT41" s="199">
        <f>IF('Encodage réponses Es'!N40="","",'Encodage réponses Es'!N40)</f>
      </c>
      <c r="AU41" s="199">
        <f>IF('Encodage réponses Es'!O40="","",'Encodage réponses Es'!O40)</f>
      </c>
      <c r="AV41" s="199">
        <f>IF('Encodage réponses Es'!P40="","",'Encodage réponses Es'!P40)</f>
      </c>
      <c r="AW41" s="59" t="s">
        <v>105</v>
      </c>
      <c r="AX41" s="316">
        <f>IF(AW39=0,"",AVERAGE(AW4:AW37)/RIGHT(AW2))</f>
      </c>
      <c r="AY41" s="101">
        <f>IF('Encodage réponses Es'!AB40="","",'Encodage réponses Es'!AB40)</f>
        <v>0</v>
      </c>
      <c r="AZ41" s="199">
        <f>IF('Encodage réponses Es'!AC40="","",'Encodage réponses Es'!AC40)</f>
      </c>
      <c r="BA41" s="199">
        <f>IF('Encodage réponses Es'!AD40="","",'Encodage réponses Es'!AD40)</f>
      </c>
      <c r="BB41" s="199">
        <f>IF('Encodage réponses Es'!AE40="","",'Encodage réponses Es'!AE40)</f>
      </c>
      <c r="BC41" s="199">
        <f>IF('Encodage réponses Es'!AF40="","",'Encodage réponses Es'!AF40)</f>
      </c>
      <c r="BD41" s="199">
        <f>IF('Encodage réponses Es'!AG40="","",'Encodage réponses Es'!AG40)</f>
      </c>
      <c r="BE41" s="199">
        <f>IF('Encodage réponses Es'!AH40="","",'Encodage réponses Es'!AH40)</f>
      </c>
      <c r="BF41" s="199">
        <f>IF('Encodage réponses Es'!AI40="","",'Encodage réponses Es'!AI40)</f>
      </c>
      <c r="BG41" s="58" t="s">
        <v>105</v>
      </c>
      <c r="BH41" s="316">
        <f>IF(BG39=0,"",(AVERAGE(BG4:BG37)+AVERAGE(BH4:BH37)*0.5)/RIGHT(BG2))</f>
      </c>
      <c r="BI41" s="412" t="s">
        <v>105</v>
      </c>
      <c r="BJ41" s="413">
        <f>IF(BI39=0,"",AVERAGE(BI4:BI37)/RIGHT(BI3,2))</f>
      </c>
      <c r="BK41" s="199">
        <f>IF('Encodage réponses Es'!BQ40="","",'Encodage réponses Es'!BQ40)</f>
      </c>
      <c r="BL41" s="199">
        <f>IF('Encodage réponses Es'!BR40="","",'Encodage réponses Es'!BR40)</f>
      </c>
      <c r="BM41" s="199">
        <f>IF('Encodage réponses Es'!BS40="","",'Encodage réponses Es'!BS40)</f>
      </c>
      <c r="BN41" s="199">
        <f>IF('Encodage réponses Es'!BT40="","",'Encodage réponses Es'!BT40)</f>
      </c>
      <c r="BO41" s="199">
        <f>IF('Encodage réponses Es'!BU40="","",'Encodage réponses Es'!BU40)</f>
      </c>
      <c r="BP41" s="132" t="s">
        <v>105</v>
      </c>
      <c r="BQ41" s="317">
        <f>IF(BP39=0,"",AVERAGE(BP4:BP37)/RIGHT(BP2))</f>
      </c>
      <c r="BR41" s="199">
        <f>IF('Encodage réponses Es'!BV40="","",'Encodage réponses Es'!BV40)</f>
      </c>
      <c r="BS41" s="199">
        <f>IF('Encodage réponses Es'!BW40="","",'Encodage réponses Es'!BW40)</f>
      </c>
      <c r="BT41" s="101">
        <f>IF('Encodage réponses Es'!BX40="","",'Encodage réponses Es'!BX40)</f>
        <v>0</v>
      </c>
      <c r="BU41" s="199">
        <f>IF('Encodage réponses Es'!BY40="","",'Encodage réponses Es'!BY40)</f>
      </c>
      <c r="BV41" s="199">
        <f>IF('Encodage réponses Es'!BZ40="","",'Encodage réponses Es'!BZ40)</f>
      </c>
      <c r="BW41" s="134" t="s">
        <v>105</v>
      </c>
      <c r="BX41" s="317">
        <f>IF(BW39=0,"",AVERAGE(BW4:BW37)/RIGHT(BW2))</f>
      </c>
      <c r="BY41" s="199">
        <f>IF('Encodage réponses Es'!CF40="","",'Encodage réponses Es'!CF40)</f>
      </c>
      <c r="BZ41" s="199">
        <f>IF('Encodage réponses Es'!CG40="","",'Encodage réponses Es'!CG40)</f>
      </c>
      <c r="CA41" s="134" t="s">
        <v>105</v>
      </c>
      <c r="CB41" s="317">
        <f>IF(CA39=0,"",AVERAGE(CA4:CA37)/RIGHT(CA2))</f>
      </c>
      <c r="CC41" s="199">
        <f>IF('Encodage réponses Es'!CA40="","",'Encodage réponses Es'!CA40)</f>
      </c>
      <c r="CD41" s="199">
        <f>IF('Encodage réponses Es'!CB40="","",'Encodage réponses Es'!CB40)</f>
      </c>
      <c r="CE41" s="199">
        <f>IF('Encodage réponses Es'!CC40="","",'Encodage réponses Es'!CC40)</f>
      </c>
      <c r="CF41" s="199">
        <f>IF('Encodage réponses Es'!CD40="","",'Encodage réponses Es'!CD40)</f>
      </c>
      <c r="CG41" s="199">
        <f>IF('Encodage réponses Es'!CE40="","",'Encodage réponses Es'!CE40)</f>
      </c>
      <c r="CH41" s="134" t="s">
        <v>105</v>
      </c>
      <c r="CI41" s="317">
        <f>IF(CH39=0,"",AVERAGE(CH4:CH37)/RIGHT(CH2))</f>
      </c>
      <c r="CJ41" s="199">
        <f>IF('Encodage réponses Es'!AJ40="","",'Encodage réponses Es'!AJ40)</f>
      </c>
      <c r="CK41" s="199">
        <f>IF('Encodage réponses Es'!AK40="","",'Encodage réponses Es'!AK40)</f>
      </c>
      <c r="CL41" s="199">
        <f>IF('Encodage réponses Es'!AL40="","",'Encodage réponses Es'!AL40)</f>
      </c>
      <c r="CM41" s="199">
        <f>IF('Encodage réponses Es'!AM40="","",'Encodage réponses Es'!AM40)</f>
      </c>
      <c r="CN41" s="199">
        <f>IF('Encodage réponses Es'!AN40="","",'Encodage réponses Es'!AN40)</f>
      </c>
      <c r="CO41" s="199">
        <f>IF('Encodage réponses Es'!AO40="","",'Encodage réponses Es'!AO40)</f>
      </c>
      <c r="CP41" s="199">
        <f>IF('Encodage réponses Es'!AP40="","",'Encodage réponses Es'!AP40)</f>
      </c>
      <c r="CQ41" s="199">
        <f>IF('Encodage réponses Es'!AQ40="","",'Encodage réponses Es'!AQ40)</f>
      </c>
      <c r="CR41" s="199">
        <f>IF('Encodage réponses Es'!AR40="","",'Encodage réponses Es'!AR40)</f>
      </c>
      <c r="CS41" s="199">
        <f>IF('Encodage réponses Es'!AS40="","",'Encodage réponses Es'!AS40)</f>
      </c>
      <c r="CT41" s="199">
        <f>IF('Encodage réponses Es'!AT40="","",'Encodage réponses Es'!AT40)</f>
      </c>
      <c r="CU41" s="199">
        <f>IF('Encodage réponses Es'!AU40="","",'Encodage réponses Es'!AU40)</f>
      </c>
      <c r="CV41" s="137" t="s">
        <v>105</v>
      </c>
      <c r="CW41" s="318">
        <f>IF(CV39=0,"",AVERAGE(CV4:CV37)/RIGHT(CV2,2))</f>
      </c>
      <c r="CX41" s="199">
        <f>IF('Encodage réponses Es'!AV40="","",'Encodage réponses Es'!AV40)</f>
      </c>
      <c r="CY41" s="199">
        <f>IF('Encodage réponses Es'!AW40="","",'Encodage réponses Es'!AW40)</f>
      </c>
      <c r="CZ41" s="199">
        <f>IF('Encodage réponses Es'!AX40="","",'Encodage réponses Es'!AX40)</f>
      </c>
      <c r="DA41" s="199">
        <f>IF('Encodage réponses Es'!AY40="","",'Encodage réponses Es'!AY40)</f>
      </c>
      <c r="DB41" s="199">
        <f>IF('Encodage réponses Es'!AZ40="","",'Encodage réponses Es'!AZ40)</f>
      </c>
      <c r="DC41" s="199">
        <f>IF('Encodage réponses Es'!BA40="","",'Encodage réponses Es'!BA40)</f>
      </c>
      <c r="DD41" s="199">
        <f>IF('Encodage réponses Es'!BB40="","",'Encodage réponses Es'!BB40)</f>
      </c>
      <c r="DE41" s="137" t="s">
        <v>105</v>
      </c>
      <c r="DF41" s="318">
        <f>IF(DE39=0,"",AVERAGE(DE4:DE37)/RIGHT(DE2))</f>
      </c>
      <c r="DG41" s="199">
        <f>IF('Encodage réponses Es'!BC40="","",'Encodage réponses Es'!BC40)</f>
      </c>
      <c r="DH41" s="199">
        <f>IF('Encodage réponses Es'!BD40="","",'Encodage réponses Es'!BD40)</f>
      </c>
      <c r="DI41" s="199">
        <f>IF('Encodage réponses Es'!BE40="","",'Encodage réponses Es'!BE40)</f>
      </c>
      <c r="DJ41" s="199">
        <f>IF('Encodage réponses Es'!BF40="","",'Encodage réponses Es'!BF40)</f>
      </c>
      <c r="DK41" s="199">
        <f>IF('Encodage réponses Es'!BG40="","",'Encodage réponses Es'!BG40)</f>
      </c>
      <c r="DL41" s="199">
        <f>IF('Encodage réponses Es'!BH40="","",'Encodage réponses Es'!BH40)</f>
      </c>
      <c r="DM41" s="199">
        <f>IF('Encodage réponses Es'!BI40="","",'Encodage réponses Es'!BI40)</f>
      </c>
      <c r="DN41" s="199">
        <f>IF('Encodage réponses Es'!BJ40="","",'Encodage réponses Es'!BJ40)</f>
      </c>
      <c r="DO41" s="199">
        <f>IF('Encodage réponses Es'!BK40="","",'Encodage réponses Es'!BK40)</f>
      </c>
      <c r="DP41" s="199">
        <f>IF('Encodage réponses Es'!BL40="","",'Encodage réponses Es'!BL40)</f>
      </c>
      <c r="DQ41" s="199">
        <f>IF('Encodage réponses Es'!BM40="","",'Encodage réponses Es'!BM40)</f>
      </c>
      <c r="DR41" s="199">
        <f>IF('Encodage réponses Es'!BN40="","",'Encodage réponses Es'!BN40)</f>
      </c>
      <c r="DS41" s="199">
        <f>IF('Encodage réponses Es'!BO40="","",'Encodage réponses Es'!BO40)</f>
      </c>
      <c r="DT41" s="199">
        <f>IF('Encodage réponses Es'!BP40="","",'Encodage réponses Es'!BP40)</f>
      </c>
      <c r="DU41" s="142" t="s">
        <v>105</v>
      </c>
      <c r="DV41" s="319">
        <f>IF(DU39=0,"",(AVERAGE(DU4:DU37)/RIGHT(DU2,2)))</f>
      </c>
    </row>
    <row r="42" spans="1:126" ht="11.25" customHeight="1">
      <c r="A42" s="118"/>
      <c r="B42" s="4"/>
      <c r="C42" s="118"/>
      <c r="D42" s="118"/>
      <c r="E42" s="414" t="s">
        <v>130</v>
      </c>
      <c r="F42" s="311">
        <v>0.56</v>
      </c>
      <c r="G42" s="325"/>
      <c r="H42" s="325"/>
      <c r="I42" s="26"/>
      <c r="J42" s="414" t="s">
        <v>130</v>
      </c>
      <c r="K42" s="311">
        <v>0.57</v>
      </c>
      <c r="L42" s="414" t="s">
        <v>130</v>
      </c>
      <c r="M42" s="311">
        <v>0.55</v>
      </c>
      <c r="N42" s="414" t="s">
        <v>130</v>
      </c>
      <c r="O42" s="311">
        <v>0.46</v>
      </c>
      <c r="P42" s="414" t="s">
        <v>130</v>
      </c>
      <c r="Q42" s="311">
        <v>0.64</v>
      </c>
      <c r="R42" s="118"/>
      <c r="S42" s="243" t="s">
        <v>33</v>
      </c>
      <c r="T42" s="188">
        <f>IF('Encodage réponses Es'!E41="","",'Encodage réponses Es'!E41)</f>
        <v>0</v>
      </c>
      <c r="U42" s="188">
        <f>IF('Encodage réponses Es'!F41="","",'Encodage réponses Es'!F41)</f>
        <v>0</v>
      </c>
      <c r="V42" s="188">
        <f>IF('Encodage réponses Es'!G41="","",'Encodage réponses Es'!G41)</f>
        <v>0</v>
      </c>
      <c r="W42" s="297"/>
      <c r="X42" s="298"/>
      <c r="Y42" s="101">
        <f>IF('Encodage réponses Es'!H41="","",'Encodage réponses Es'!H41)</f>
        <v>0</v>
      </c>
      <c r="Z42" s="101">
        <f>IF('Encodage réponses Es'!I41="","",'Encodage réponses Es'!I41)</f>
        <v>0</v>
      </c>
      <c r="AA42" s="101">
        <f>IF('Encodage réponses Es'!J41="","",'Encodage réponses Es'!J41)</f>
        <v>0</v>
      </c>
      <c r="AB42" s="101">
        <f>IF('Encodage réponses Es'!K41="","",'Encodage réponses Es'!K41)</f>
        <v>0</v>
      </c>
      <c r="AC42" s="101">
        <f>IF('Encodage réponses Es'!L41="","",'Encodage réponses Es'!L41)</f>
        <v>0</v>
      </c>
      <c r="AD42" s="101">
        <f>IF('Encodage réponses Es'!Q41="","",'Encodage réponses Es'!Q41)</f>
        <v>0</v>
      </c>
      <c r="AE42" s="101">
        <f>IF('Encodage réponses Es'!R41="","",'Encodage réponses Es'!R41)</f>
        <v>0</v>
      </c>
      <c r="AF42" s="101">
        <f>IF('Encodage réponses Es'!S41="","",'Encodage réponses Es'!S41)</f>
        <v>0</v>
      </c>
      <c r="AG42" s="101">
        <f>IF('Encodage réponses Es'!T41="","",'Encodage réponses Es'!T41)</f>
        <v>0</v>
      </c>
      <c r="AH42" s="101">
        <f>IF('Encodage réponses Es'!U41="","",'Encodage réponses Es'!U41)</f>
        <v>0</v>
      </c>
      <c r="AI42" s="101">
        <f>IF('Encodage réponses Es'!V41="","",'Encodage réponses Es'!V41)</f>
        <v>0</v>
      </c>
      <c r="AJ42" s="101">
        <f>IF('Encodage réponses Es'!W41="","",'Encodage réponses Es'!W41)</f>
        <v>0</v>
      </c>
      <c r="AK42" s="101">
        <f>IF('Encodage réponses Es'!X41="","",'Encodage réponses Es'!X41)</f>
        <v>0</v>
      </c>
      <c r="AL42" s="101">
        <f>IF('Encodage réponses Es'!Y41="","",'Encodage réponses Es'!Y41)</f>
        <v>0</v>
      </c>
      <c r="AM42" s="101">
        <f>IF('Encodage réponses Es'!Z41="","",'Encodage réponses Es'!Z41)</f>
        <v>0</v>
      </c>
      <c r="AN42" s="101">
        <f>IF('Encodage réponses Es'!AA41="","",'Encodage réponses Es'!AA41)</f>
        <v>0</v>
      </c>
      <c r="AO42" s="297"/>
      <c r="AP42" s="300"/>
      <c r="AQ42" s="414" t="s">
        <v>130</v>
      </c>
      <c r="AR42" s="416">
        <v>0.54</v>
      </c>
      <c r="AS42" s="101">
        <f>IF('Encodage réponses Es'!M41="","",'Encodage réponses Es'!M41)</f>
        <v>0</v>
      </c>
      <c r="AT42" s="101">
        <f>IF('Encodage réponses Es'!N41="","",'Encodage réponses Es'!N41)</f>
        <v>0</v>
      </c>
      <c r="AU42" s="101">
        <f>IF('Encodage réponses Es'!O41="","",'Encodage réponses Es'!O41)</f>
        <v>0</v>
      </c>
      <c r="AV42" s="101">
        <f>IF('Encodage réponses Es'!P41="","",'Encodage réponses Es'!P41)</f>
        <v>0</v>
      </c>
      <c r="AW42" s="297"/>
      <c r="AX42" s="300"/>
      <c r="AY42" s="101">
        <f>IF('Encodage réponses Es'!AB41="","",'Encodage réponses Es'!AB41)</f>
        <v>0</v>
      </c>
      <c r="AZ42" s="101">
        <f>IF('Encodage réponses Es'!AC41="","",'Encodage réponses Es'!AC41)</f>
        <v>0</v>
      </c>
      <c r="BA42" s="101">
        <f>IF('Encodage réponses Es'!AD41="","",'Encodage réponses Es'!AD41)</f>
        <v>0</v>
      </c>
      <c r="BB42" s="101">
        <f>IF('Encodage réponses Es'!AE41="","",'Encodage réponses Es'!AE41)</f>
        <v>0</v>
      </c>
      <c r="BC42" s="101">
        <f>IF('Encodage réponses Es'!AF41="","",'Encodage réponses Es'!AF41)</f>
        <v>0</v>
      </c>
      <c r="BD42" s="101">
        <f>IF('Encodage réponses Es'!AG41="","",'Encodage réponses Es'!AG41)</f>
        <v>0</v>
      </c>
      <c r="BE42" s="101">
        <f>IF('Encodage réponses Es'!AH41="","",'Encodage réponses Es'!AH41)</f>
        <v>0</v>
      </c>
      <c r="BF42" s="101">
        <f>IF('Encodage réponses Es'!AI41="","",'Encodage réponses Es'!AI41)</f>
        <v>0</v>
      </c>
      <c r="BG42" s="299"/>
      <c r="BH42" s="300"/>
      <c r="BI42" s="414" t="s">
        <v>130</v>
      </c>
      <c r="BJ42" s="416">
        <v>0.61</v>
      </c>
      <c r="BK42" s="101">
        <f>IF('Encodage réponses Es'!BQ41="","",'Encodage réponses Es'!BQ41)</f>
        <v>0</v>
      </c>
      <c r="BL42" s="101">
        <f>IF('Encodage réponses Es'!BR41="","",'Encodage réponses Es'!BR41)</f>
        <v>0</v>
      </c>
      <c r="BM42" s="101">
        <f>IF('Encodage réponses Es'!BS41="","",'Encodage réponses Es'!BS41)</f>
        <v>0</v>
      </c>
      <c r="BN42" s="101">
        <f>IF('Encodage réponses Es'!BT41="","",'Encodage réponses Es'!BT41)</f>
        <v>0</v>
      </c>
      <c r="BO42" s="101">
        <f>IF('Encodage réponses Es'!BU41="","",'Encodage réponses Es'!BU41)</f>
        <v>0</v>
      </c>
      <c r="BP42" s="301"/>
      <c r="BQ42" s="302"/>
      <c r="BR42" s="101">
        <f>IF('Encodage réponses Es'!BV41="","",'Encodage réponses Es'!BV41)</f>
        <v>0</v>
      </c>
      <c r="BS42" s="101">
        <f>IF('Encodage réponses Es'!BW41="","",'Encodage réponses Es'!BW41)</f>
        <v>0</v>
      </c>
      <c r="BT42" s="101">
        <f>IF('Encodage réponses Es'!BX41="","",'Encodage réponses Es'!BX41)</f>
        <v>0</v>
      </c>
      <c r="BU42" s="101">
        <f>IF('Encodage réponses Es'!BY41="","",'Encodage réponses Es'!BY41)</f>
        <v>0</v>
      </c>
      <c r="BV42" s="101">
        <f>IF('Encodage réponses Es'!BZ41="","",'Encodage réponses Es'!BZ41)</f>
        <v>0</v>
      </c>
      <c r="BW42" s="303"/>
      <c r="BX42" s="302"/>
      <c r="BY42" s="101">
        <f>IF('Encodage réponses Es'!CF41="","",'Encodage réponses Es'!CF41)</f>
        <v>0</v>
      </c>
      <c r="BZ42" s="101">
        <f>IF('Encodage réponses Es'!CG41="","",'Encodage réponses Es'!CG41)</f>
        <v>0</v>
      </c>
      <c r="CA42" s="303"/>
      <c r="CB42" s="302"/>
      <c r="CC42" s="101">
        <f>IF('Encodage réponses Es'!CA41="","",'Encodage réponses Es'!CA41)</f>
        <v>0</v>
      </c>
      <c r="CD42" s="101">
        <f>IF('Encodage réponses Es'!CB41="","",'Encodage réponses Es'!CB41)</f>
        <v>0</v>
      </c>
      <c r="CE42" s="101">
        <f>IF('Encodage réponses Es'!CC41="","",'Encodage réponses Es'!CC41)</f>
        <v>0</v>
      </c>
      <c r="CF42" s="101">
        <f>IF('Encodage réponses Es'!CD41="","",'Encodage réponses Es'!CD41)</f>
        <v>0</v>
      </c>
      <c r="CG42" s="101">
        <f>IF('Encodage réponses Es'!CE41="","",'Encodage réponses Es'!CE41)</f>
        <v>0</v>
      </c>
      <c r="CH42" s="303"/>
      <c r="CI42" s="302"/>
      <c r="CJ42" s="101">
        <f>IF('Encodage réponses Es'!AJ41="","",'Encodage réponses Es'!AJ41)</f>
        <v>0</v>
      </c>
      <c r="CK42" s="101">
        <f>IF('Encodage réponses Es'!AK41="","",'Encodage réponses Es'!AK41)</f>
        <v>0</v>
      </c>
      <c r="CL42" s="101">
        <f>IF('Encodage réponses Es'!AL41="","",'Encodage réponses Es'!AL41)</f>
        <v>0</v>
      </c>
      <c r="CM42" s="101">
        <f>IF('Encodage réponses Es'!AM41="","",'Encodage réponses Es'!AM41)</f>
        <v>0</v>
      </c>
      <c r="CN42" s="101">
        <f>IF('Encodage réponses Es'!AN41="","",'Encodage réponses Es'!AN41)</f>
        <v>0</v>
      </c>
      <c r="CO42" s="101">
        <f>IF('Encodage réponses Es'!AO41="","",'Encodage réponses Es'!AO41)</f>
        <v>0</v>
      </c>
      <c r="CP42" s="101">
        <f>IF('Encodage réponses Es'!AP41="","",'Encodage réponses Es'!AP41)</f>
        <v>0</v>
      </c>
      <c r="CQ42" s="101">
        <f>IF('Encodage réponses Es'!AQ41="","",'Encodage réponses Es'!AQ41)</f>
        <v>0</v>
      </c>
      <c r="CR42" s="101">
        <f>IF('Encodage réponses Es'!AR41="","",'Encodage réponses Es'!AR41)</f>
        <v>0</v>
      </c>
      <c r="CS42" s="101">
        <f>IF('Encodage réponses Es'!AS41="","",'Encodage réponses Es'!AS41)</f>
        <v>0</v>
      </c>
      <c r="CT42" s="101">
        <f>IF('Encodage réponses Es'!AT41="","",'Encodage réponses Es'!AT41)</f>
        <v>0</v>
      </c>
      <c r="CU42" s="101">
        <f>IF('Encodage réponses Es'!AU41="","",'Encodage réponses Es'!AU41)</f>
        <v>0</v>
      </c>
      <c r="CV42" s="304"/>
      <c r="CW42" s="305"/>
      <c r="CX42" s="101">
        <f>IF('Encodage réponses Es'!AV41="","",'Encodage réponses Es'!AV41)</f>
        <v>0</v>
      </c>
      <c r="CY42" s="101">
        <f>IF('Encodage réponses Es'!AW41="","",'Encodage réponses Es'!AW41)</f>
        <v>0</v>
      </c>
      <c r="CZ42" s="101">
        <f>IF('Encodage réponses Es'!AX41="","",'Encodage réponses Es'!AX41)</f>
        <v>0</v>
      </c>
      <c r="DA42" s="101">
        <f>IF('Encodage réponses Es'!AY41="","",'Encodage réponses Es'!AY41)</f>
        <v>0</v>
      </c>
      <c r="DB42" s="101">
        <f>IF('Encodage réponses Es'!AZ41="","",'Encodage réponses Es'!AZ41)</f>
        <v>0</v>
      </c>
      <c r="DC42" s="101">
        <f>IF('Encodage réponses Es'!BA41="","",'Encodage réponses Es'!BA41)</f>
        <v>0</v>
      </c>
      <c r="DD42" s="101">
        <f>IF('Encodage réponses Es'!BB41="","",'Encodage réponses Es'!BB41)</f>
        <v>0</v>
      </c>
      <c r="DE42" s="304"/>
      <c r="DF42" s="305"/>
      <c r="DG42" s="101">
        <f>IF('Encodage réponses Es'!BC41="","",'Encodage réponses Es'!BC41)</f>
        <v>0</v>
      </c>
      <c r="DH42" s="101">
        <f>IF('Encodage réponses Es'!BD41="","",'Encodage réponses Es'!BD41)</f>
        <v>0</v>
      </c>
      <c r="DI42" s="101">
        <f>IF('Encodage réponses Es'!BE41="","",'Encodage réponses Es'!BE41)</f>
        <v>0</v>
      </c>
      <c r="DJ42" s="101">
        <f>IF('Encodage réponses Es'!BF41="","",'Encodage réponses Es'!BF41)</f>
        <v>0</v>
      </c>
      <c r="DK42" s="101">
        <f>IF('Encodage réponses Es'!BG41="","",'Encodage réponses Es'!BG41)</f>
        <v>0</v>
      </c>
      <c r="DL42" s="101">
        <f>IF('Encodage réponses Es'!BH41="","",'Encodage réponses Es'!BH41)</f>
        <v>0</v>
      </c>
      <c r="DM42" s="101">
        <f>IF('Encodage réponses Es'!BI41="","",'Encodage réponses Es'!BI41)</f>
        <v>0</v>
      </c>
      <c r="DN42" s="101">
        <f>IF('Encodage réponses Es'!BJ41="","",'Encodage réponses Es'!BJ41)</f>
        <v>0</v>
      </c>
      <c r="DO42" s="101">
        <f>IF('Encodage réponses Es'!BK41="","",'Encodage réponses Es'!BK41)</f>
        <v>0</v>
      </c>
      <c r="DP42" s="101">
        <f>IF('Encodage réponses Es'!BL41="","",'Encodage réponses Es'!BL41)</f>
        <v>0</v>
      </c>
      <c r="DQ42" s="101">
        <f>IF('Encodage réponses Es'!BM41="","",'Encodage réponses Es'!BM41)</f>
        <v>0</v>
      </c>
      <c r="DR42" s="101">
        <f>IF('Encodage réponses Es'!BN41="","",'Encodage réponses Es'!BN41)</f>
        <v>0</v>
      </c>
      <c r="DS42" s="101">
        <f>IF('Encodage réponses Es'!BO41="","",'Encodage réponses Es'!BO41)</f>
        <v>0</v>
      </c>
      <c r="DT42" s="101">
        <f>IF('Encodage réponses Es'!BP41="","",'Encodage réponses Es'!BP41)</f>
        <v>0</v>
      </c>
      <c r="DU42" s="306"/>
      <c r="DV42" s="307"/>
    </row>
    <row r="43" spans="1:126" ht="11.25" customHeight="1" thickBot="1">
      <c r="A43" s="118"/>
      <c r="B43" s="4"/>
      <c r="C43" s="118"/>
      <c r="D43" s="86"/>
      <c r="E43" s="34"/>
      <c r="F43" s="35"/>
      <c r="G43" s="35"/>
      <c r="H43" s="35"/>
      <c r="I43" s="34"/>
      <c r="J43" s="34"/>
      <c r="K43" s="35"/>
      <c r="L43" s="34"/>
      <c r="M43" s="35"/>
      <c r="N43" s="34"/>
      <c r="O43" s="35"/>
      <c r="P43" s="34"/>
      <c r="Q43" s="35"/>
      <c r="R43" s="181"/>
      <c r="S43" s="243" t="s">
        <v>63</v>
      </c>
      <c r="T43" s="309">
        <f>IF('Encodage réponses Es'!E42="","",'Encodage réponses Es'!E42)</f>
        <v>0</v>
      </c>
      <c r="U43" s="188">
        <f>IF('Encodage réponses Es'!F42="","",'Encodage réponses Es'!F42)</f>
        <v>0</v>
      </c>
      <c r="V43" s="188">
        <f>IF('Encodage réponses Es'!G42="","",'Encodage réponses Es'!G42)</f>
        <v>0</v>
      </c>
      <c r="X43" s="52"/>
      <c r="Y43" s="101">
        <f>IF('Encodage réponses Es'!H42="","",'Encodage réponses Es'!H42)</f>
        <v>0</v>
      </c>
      <c r="Z43" s="101">
        <f>IF('Encodage réponses Es'!I42="","",'Encodage réponses Es'!I42)</f>
        <v>0</v>
      </c>
      <c r="AA43" s="101">
        <f>IF('Encodage réponses Es'!J42="","",'Encodage réponses Es'!J42)</f>
        <v>0</v>
      </c>
      <c r="AB43" s="101">
        <f>IF('Encodage réponses Es'!K42="","",'Encodage réponses Es'!K42)</f>
        <v>0</v>
      </c>
      <c r="AC43" s="101">
        <f>IF('Encodage réponses Es'!L42="","",'Encodage réponses Es'!L42)</f>
        <v>0</v>
      </c>
      <c r="AD43" s="101">
        <f>IF('Encodage réponses Es'!Q42="","",'Encodage réponses Es'!Q42)</f>
        <v>0</v>
      </c>
      <c r="AE43" s="101">
        <f>IF('Encodage réponses Es'!R42="","",'Encodage réponses Es'!R42)</f>
        <v>0</v>
      </c>
      <c r="AF43" s="101">
        <f>IF('Encodage réponses Es'!S42="","",'Encodage réponses Es'!S42)</f>
        <v>0</v>
      </c>
      <c r="AG43" s="101">
        <f>IF('Encodage réponses Es'!T42="","",'Encodage réponses Es'!T42)</f>
        <v>0</v>
      </c>
      <c r="AH43" s="101">
        <f>IF('Encodage réponses Es'!U42="","",'Encodage réponses Es'!U42)</f>
        <v>0</v>
      </c>
      <c r="AI43" s="101">
        <f>IF('Encodage réponses Es'!V42="","",'Encodage réponses Es'!V42)</f>
        <v>0</v>
      </c>
      <c r="AJ43" s="101">
        <f>IF('Encodage réponses Es'!W42="","",'Encodage réponses Es'!W42)</f>
        <v>0</v>
      </c>
      <c r="AK43" s="101">
        <f>IF('Encodage réponses Es'!X42="","",'Encodage réponses Es'!X42)</f>
        <v>0</v>
      </c>
      <c r="AL43" s="101">
        <f>IF('Encodage réponses Es'!Y42="","",'Encodage réponses Es'!Y42)</f>
        <v>0</v>
      </c>
      <c r="AM43" s="101">
        <f>IF('Encodage réponses Es'!Z42="","",'Encodage réponses Es'!Z42)</f>
        <v>0</v>
      </c>
      <c r="AN43" s="101">
        <f>IF('Encodage réponses Es'!AA42="","",'Encodage réponses Es'!AA42)</f>
        <v>0</v>
      </c>
      <c r="AP43" s="52"/>
      <c r="AR43" s="52"/>
      <c r="AS43" s="101">
        <f>IF('Encodage réponses Es'!M42="","",'Encodage réponses Es'!M42)</f>
        <v>0</v>
      </c>
      <c r="AT43" s="101">
        <f>IF('Encodage réponses Es'!N42="","",'Encodage réponses Es'!N42)</f>
        <v>0</v>
      </c>
      <c r="AU43" s="101">
        <f>IF('Encodage réponses Es'!O42="","",'Encodage réponses Es'!O42)</f>
        <v>0</v>
      </c>
      <c r="AV43" s="101">
        <f>IF('Encodage réponses Es'!P42="","",'Encodage réponses Es'!P42)</f>
        <v>0</v>
      </c>
      <c r="AY43" s="101">
        <f>IF('Encodage réponses Es'!AB42="","",'Encodage réponses Es'!AB42)</f>
        <v>0</v>
      </c>
      <c r="AZ43" s="101">
        <f>IF('Encodage réponses Es'!AC42="","",'Encodage réponses Es'!AC42)</f>
        <v>0</v>
      </c>
      <c r="BA43" s="101">
        <f>IF('Encodage réponses Es'!AD42="","",'Encodage réponses Es'!AD42)</f>
        <v>0</v>
      </c>
      <c r="BB43" s="101">
        <f>IF('Encodage réponses Es'!AE42="","",'Encodage réponses Es'!AE42)</f>
        <v>0</v>
      </c>
      <c r="BC43" s="101">
        <f>IF('Encodage réponses Es'!AF42="","",'Encodage réponses Es'!AF42)</f>
        <v>0</v>
      </c>
      <c r="BD43" s="101">
        <f>IF('Encodage réponses Es'!AG42="","",'Encodage réponses Es'!AG42)</f>
        <v>0</v>
      </c>
      <c r="BE43" s="101">
        <f>IF('Encodage réponses Es'!AH42="","",'Encodage réponses Es'!AH42)</f>
        <v>0</v>
      </c>
      <c r="BF43" s="101">
        <f>IF('Encodage réponses Es'!AI42="","",'Encodage réponses Es'!AI42)</f>
        <v>0</v>
      </c>
      <c r="BG43" s="120"/>
      <c r="BH43" s="120"/>
      <c r="BJ43" s="52"/>
      <c r="BK43" s="101">
        <f>IF('Encodage réponses Es'!BQ42="","",'Encodage réponses Es'!BQ42)</f>
        <v>0</v>
      </c>
      <c r="BL43" s="101">
        <f>IF('Encodage réponses Es'!BR42="","",'Encodage réponses Es'!BR42)</f>
        <v>0</v>
      </c>
      <c r="BM43" s="101">
        <f>IF('Encodage réponses Es'!BS42="","",'Encodage réponses Es'!BS42)</f>
        <v>0</v>
      </c>
      <c r="BN43" s="101">
        <f>IF('Encodage réponses Es'!BT42="","",'Encodage réponses Es'!BT42)</f>
        <v>0</v>
      </c>
      <c r="BO43" s="101">
        <f>IF('Encodage réponses Es'!BU42="","",'Encodage réponses Es'!BU42)</f>
        <v>0</v>
      </c>
      <c r="BR43" s="101">
        <f>IF('Encodage réponses Es'!BV42="","",'Encodage réponses Es'!BV42)</f>
        <v>0</v>
      </c>
      <c r="BS43" s="101">
        <f>IF('Encodage réponses Es'!BW42="","",'Encodage réponses Es'!BW42)</f>
        <v>0</v>
      </c>
      <c r="BT43" s="101">
        <f>IF('Encodage réponses Es'!BX42="","",'Encodage réponses Es'!BX42)</f>
        <v>0</v>
      </c>
      <c r="BU43" s="101">
        <f>IF('Encodage réponses Es'!BY42="","",'Encodage réponses Es'!BY42)</f>
        <v>0</v>
      </c>
      <c r="BV43" s="101">
        <f>IF('Encodage réponses Es'!BZ42="","",'Encodage réponses Es'!BZ42)</f>
        <v>0</v>
      </c>
      <c r="BY43" s="101">
        <f>IF('Encodage réponses Es'!CF42="","",'Encodage réponses Es'!CF42)</f>
        <v>0</v>
      </c>
      <c r="BZ43" s="101">
        <f>IF('Encodage réponses Es'!CG42="","",'Encodage réponses Es'!CG42)</f>
        <v>0</v>
      </c>
      <c r="CC43" s="101">
        <f>IF('Encodage réponses Es'!CA42="","",'Encodage réponses Es'!CA42)</f>
        <v>0</v>
      </c>
      <c r="CD43" s="101">
        <f>IF('Encodage réponses Es'!CB42="","",'Encodage réponses Es'!CB42)</f>
        <v>0</v>
      </c>
      <c r="CE43" s="101">
        <f>IF('Encodage réponses Es'!CC42="","",'Encodage réponses Es'!CC42)</f>
        <v>0</v>
      </c>
      <c r="CF43" s="101">
        <f>IF('Encodage réponses Es'!CD42="","",'Encodage réponses Es'!CD42)</f>
        <v>0</v>
      </c>
      <c r="CG43" s="101">
        <f>IF('Encodage réponses Es'!CE42="","",'Encodage réponses Es'!CE42)</f>
        <v>0</v>
      </c>
      <c r="CJ43" s="101">
        <f>IF('Encodage réponses Es'!AJ42="","",'Encodage réponses Es'!AJ42)</f>
        <v>0</v>
      </c>
      <c r="CK43" s="101">
        <f>IF('Encodage réponses Es'!AK42="","",'Encodage réponses Es'!AK42)</f>
        <v>0</v>
      </c>
      <c r="CL43" s="101">
        <f>IF('Encodage réponses Es'!AL42="","",'Encodage réponses Es'!AL42)</f>
        <v>0</v>
      </c>
      <c r="CM43" s="101">
        <f>IF('Encodage réponses Es'!AM42="","",'Encodage réponses Es'!AM42)</f>
        <v>0</v>
      </c>
      <c r="CN43" s="101">
        <f>IF('Encodage réponses Es'!AN42="","",'Encodage réponses Es'!AN42)</f>
        <v>0</v>
      </c>
      <c r="CO43" s="101">
        <f>IF('Encodage réponses Es'!AO42="","",'Encodage réponses Es'!AO42)</f>
        <v>0</v>
      </c>
      <c r="CP43" s="101">
        <f>IF('Encodage réponses Es'!AP42="","",'Encodage réponses Es'!AP42)</f>
        <v>0</v>
      </c>
      <c r="CQ43" s="101">
        <f>IF('Encodage réponses Es'!AQ42="","",'Encodage réponses Es'!AQ42)</f>
        <v>0</v>
      </c>
      <c r="CR43" s="101">
        <f>IF('Encodage réponses Es'!AR42="","",'Encodage réponses Es'!AR42)</f>
        <v>0</v>
      </c>
      <c r="CS43" s="101">
        <f>IF('Encodage réponses Es'!AS42="","",'Encodage réponses Es'!AS42)</f>
        <v>0</v>
      </c>
      <c r="CT43" s="101">
        <f>IF('Encodage réponses Es'!AT42="","",'Encodage réponses Es'!AT42)</f>
        <v>0</v>
      </c>
      <c r="CU43" s="101">
        <f>IF('Encodage réponses Es'!AU42="","",'Encodage réponses Es'!AU42)</f>
        <v>0</v>
      </c>
      <c r="CX43" s="101">
        <f>IF('Encodage réponses Es'!AV42="","",'Encodage réponses Es'!AV42)</f>
        <v>0</v>
      </c>
      <c r="CY43" s="101">
        <f>IF('Encodage réponses Es'!AW42="","",'Encodage réponses Es'!AW42)</f>
        <v>0</v>
      </c>
      <c r="CZ43" s="101">
        <f>IF('Encodage réponses Es'!AX42="","",'Encodage réponses Es'!AX42)</f>
        <v>0</v>
      </c>
      <c r="DA43" s="101">
        <f>IF('Encodage réponses Es'!AY42="","",'Encodage réponses Es'!AY42)</f>
        <v>0</v>
      </c>
      <c r="DB43" s="101">
        <f>IF('Encodage réponses Es'!AZ42="","",'Encodage réponses Es'!AZ42)</f>
        <v>0</v>
      </c>
      <c r="DC43" s="101">
        <f>IF('Encodage réponses Es'!BA42="","",'Encodage réponses Es'!BA42)</f>
        <v>0</v>
      </c>
      <c r="DD43" s="101">
        <f>IF('Encodage réponses Es'!BB42="","",'Encodage réponses Es'!BB42)</f>
        <v>0</v>
      </c>
      <c r="DG43" s="101">
        <f>IF('Encodage réponses Es'!BC42="","",'Encodage réponses Es'!BC42)</f>
        <v>0</v>
      </c>
      <c r="DH43" s="101">
        <f>IF('Encodage réponses Es'!BD42="","",'Encodage réponses Es'!BD42)</f>
        <v>0</v>
      </c>
      <c r="DI43" s="101">
        <f>IF('Encodage réponses Es'!BE42="","",'Encodage réponses Es'!BE42)</f>
        <v>0</v>
      </c>
      <c r="DJ43" s="101">
        <f>IF('Encodage réponses Es'!BF42="","",'Encodage réponses Es'!BF42)</f>
        <v>0</v>
      </c>
      <c r="DK43" s="101">
        <f>IF('Encodage réponses Es'!BG42="","",'Encodage réponses Es'!BG42)</f>
        <v>0</v>
      </c>
      <c r="DL43" s="101">
        <f>IF('Encodage réponses Es'!BH42="","",'Encodage réponses Es'!BH42)</f>
        <v>0</v>
      </c>
      <c r="DM43" s="101">
        <f>IF('Encodage réponses Es'!BI42="","",'Encodage réponses Es'!BI42)</f>
        <v>0</v>
      </c>
      <c r="DN43" s="101">
        <f>IF('Encodage réponses Es'!BJ42="","",'Encodage réponses Es'!BJ42)</f>
        <v>0</v>
      </c>
      <c r="DO43" s="101">
        <f>IF('Encodage réponses Es'!BK42="","",'Encodage réponses Es'!BK42)</f>
        <v>0</v>
      </c>
      <c r="DP43" s="101">
        <f>IF('Encodage réponses Es'!BL42="","",'Encodage réponses Es'!BL42)</f>
        <v>0</v>
      </c>
      <c r="DQ43" s="101">
        <f>IF('Encodage réponses Es'!BM42="","",'Encodage réponses Es'!BM42)</f>
        <v>0</v>
      </c>
      <c r="DR43" s="101">
        <f>IF('Encodage réponses Es'!BN42="","",'Encodage réponses Es'!BN42)</f>
        <v>0</v>
      </c>
      <c r="DS43" s="101">
        <f>IF('Encodage réponses Es'!BO42="","",'Encodage réponses Es'!BO42)</f>
        <v>0</v>
      </c>
      <c r="DT43" s="101">
        <f>IF('Encodage réponses Es'!BP42="","",'Encodage réponses Es'!BP42)</f>
        <v>0</v>
      </c>
      <c r="DV43" s="62"/>
    </row>
    <row r="44" spans="1:126" ht="11.25" customHeight="1">
      <c r="A44" s="118"/>
      <c r="B44" s="4"/>
      <c r="C44" s="118"/>
      <c r="D44" s="86"/>
      <c r="E44" s="34"/>
      <c r="F44" s="35"/>
      <c r="G44" s="35"/>
      <c r="H44" s="35"/>
      <c r="I44" s="34"/>
      <c r="J44" s="34"/>
      <c r="K44" s="35"/>
      <c r="L44" s="34"/>
      <c r="M44" s="35"/>
      <c r="N44" s="34"/>
      <c r="O44" s="35"/>
      <c r="P44" s="34"/>
      <c r="Q44" s="35"/>
      <c r="R44" s="181"/>
      <c r="S44" s="308"/>
      <c r="T44" s="118"/>
      <c r="U44" s="18"/>
      <c r="V44" s="18"/>
      <c r="X44" s="52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P44" s="52"/>
      <c r="AR44" s="52"/>
      <c r="BG44" s="120"/>
      <c r="BH44" s="120"/>
      <c r="BJ44" s="52"/>
      <c r="DV44" s="52"/>
    </row>
    <row r="45" spans="1:126" ht="11.25" customHeight="1">
      <c r="A45" s="118"/>
      <c r="B45" s="4"/>
      <c r="C45" s="118"/>
      <c r="D45" s="118"/>
      <c r="E45" s="3" t="s">
        <v>106</v>
      </c>
      <c r="F45" s="1">
        <f>COUNTIF(E$4:E$37,"&lt;8,1")</f>
        <v>0</v>
      </c>
      <c r="G45" s="1"/>
      <c r="H45" s="1"/>
      <c r="J45" s="3" t="s">
        <v>106</v>
      </c>
      <c r="K45" s="1">
        <f>COUNTIF(J$4:J$37,"&lt;3,1")</f>
        <v>0</v>
      </c>
      <c r="L45" s="3" t="s">
        <v>106</v>
      </c>
      <c r="M45" s="1">
        <f>COUNTIF(L$4:L$37,"&lt;1,7")</f>
        <v>0</v>
      </c>
      <c r="N45" s="3" t="s">
        <v>106</v>
      </c>
      <c r="O45" s="1">
        <f>COUNTIF(N$4:N$37,"&lt;1,9")</f>
        <v>0</v>
      </c>
      <c r="P45" s="3" t="s">
        <v>106</v>
      </c>
      <c r="Q45" s="1">
        <f>COUNTIF(P$4:P$37,"&lt;1,4")</f>
        <v>0</v>
      </c>
      <c r="R45" s="181"/>
      <c r="S45" s="243"/>
      <c r="T45" s="190"/>
      <c r="U45" s="119"/>
      <c r="V45" s="119"/>
      <c r="W45" s="23" t="s">
        <v>106</v>
      </c>
      <c r="X45" s="63">
        <f>COUNTIF(W$4:W$37,"&lt;,3")</f>
        <v>0</v>
      </c>
      <c r="Y45" s="18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23" t="s">
        <v>106</v>
      </c>
      <c r="AP45" s="53">
        <f>COUNTIF(AO$4:AO$37,"&lt;1,6")</f>
        <v>0</v>
      </c>
      <c r="AQ45" s="23" t="s">
        <v>106</v>
      </c>
      <c r="AR45" s="53">
        <f>COUNTIF(AQ$4:AQ$37,"&lt;1,9")</f>
        <v>0</v>
      </c>
      <c r="AS45" s="200"/>
      <c r="AT45" s="200"/>
      <c r="AU45" s="200"/>
      <c r="AV45" s="200"/>
      <c r="AW45" s="23" t="s">
        <v>106</v>
      </c>
      <c r="AX45" s="24">
        <f>COUNTIF(AW$4:AW$37,"&lt;,4")</f>
        <v>0</v>
      </c>
      <c r="AY45" s="200"/>
      <c r="AZ45" s="200"/>
      <c r="BA45" s="200"/>
      <c r="BB45" s="200"/>
      <c r="BC45" s="200"/>
      <c r="BD45" s="200"/>
      <c r="BE45" s="200"/>
      <c r="BF45" s="200"/>
      <c r="BG45" s="121" t="s">
        <v>106</v>
      </c>
      <c r="BH45" s="122">
        <f>COUNTIF(BG$4:BG$37,"&lt;,8")</f>
        <v>0</v>
      </c>
      <c r="BI45" s="23" t="s">
        <v>106</v>
      </c>
      <c r="BJ45" s="53">
        <f>COUNTIF(BI$4:BI$37,"&lt;1,2")</f>
        <v>0</v>
      </c>
      <c r="BK45" s="200"/>
      <c r="BL45" s="200"/>
      <c r="BM45" s="200"/>
      <c r="BN45" s="200"/>
      <c r="BO45" s="200"/>
      <c r="BP45" s="23" t="s">
        <v>106</v>
      </c>
      <c r="BQ45" s="53">
        <f>COUNTIF(BP$4:BP$37,"&lt;,5")</f>
        <v>0</v>
      </c>
      <c r="BR45" s="200"/>
      <c r="BS45" s="200"/>
      <c r="BT45" s="200"/>
      <c r="BU45" s="200"/>
      <c r="BV45" s="200"/>
      <c r="BW45" s="23" t="s">
        <v>106</v>
      </c>
      <c r="BX45" s="53">
        <f>COUNTIF(BW$4:BW$37,"&lt;,5")</f>
        <v>0</v>
      </c>
      <c r="BY45" s="200"/>
      <c r="BZ45" s="200"/>
      <c r="CA45" s="23" t="s">
        <v>106</v>
      </c>
      <c r="CB45" s="53">
        <f>COUNTIF(CA$4:CA$37,"&lt;,2")</f>
        <v>0</v>
      </c>
      <c r="CC45" s="200"/>
      <c r="CD45" s="200"/>
      <c r="CE45" s="200"/>
      <c r="CF45" s="200"/>
      <c r="CG45" s="200"/>
      <c r="CH45" s="23" t="s">
        <v>106</v>
      </c>
      <c r="CI45" s="53">
        <f>COUNTIF(CH$4:CH$37,"&lt;0,5")</f>
        <v>0</v>
      </c>
      <c r="CJ45" s="200"/>
      <c r="CK45" s="200"/>
      <c r="CL45" s="200"/>
      <c r="CM45" s="200"/>
      <c r="CN45" s="200"/>
      <c r="CO45" s="200"/>
      <c r="CP45" s="200"/>
      <c r="CQ45" s="200"/>
      <c r="CR45" s="200"/>
      <c r="CS45" s="200"/>
      <c r="CT45" s="200"/>
      <c r="CU45" s="200"/>
      <c r="CV45" s="23" t="s">
        <v>106</v>
      </c>
      <c r="CW45" s="24">
        <f>COUNTIF(CV$4:CV$37,"&lt;1,2")</f>
        <v>0</v>
      </c>
      <c r="CX45" s="200"/>
      <c r="CY45" s="200"/>
      <c r="CZ45" s="200"/>
      <c r="DA45" s="200"/>
      <c r="DB45" s="200"/>
      <c r="DC45" s="200"/>
      <c r="DD45" s="200"/>
      <c r="DE45" s="23" t="s">
        <v>106</v>
      </c>
      <c r="DF45" s="24">
        <f>COUNTIF(DE$4:DE$37,"&lt;0,7")</f>
        <v>0</v>
      </c>
      <c r="DG45" s="200"/>
      <c r="DH45" s="200"/>
      <c r="DI45" s="200"/>
      <c r="DJ45" s="200"/>
      <c r="DK45" s="200"/>
      <c r="DL45" s="200"/>
      <c r="DM45" s="200"/>
      <c r="DN45" s="200"/>
      <c r="DO45" s="200"/>
      <c r="DP45" s="200"/>
      <c r="DQ45" s="200"/>
      <c r="DR45" s="200"/>
      <c r="DS45" s="200"/>
      <c r="DT45" s="200"/>
      <c r="DU45" s="23" t="s">
        <v>106</v>
      </c>
      <c r="DV45" s="53">
        <f>COUNTIF(DU$4:DU$37,"&lt;1,2")</f>
        <v>0</v>
      </c>
    </row>
    <row r="46" spans="1:126" ht="11.25" customHeight="1">
      <c r="A46" s="118"/>
      <c r="B46" s="4"/>
      <c r="C46" s="118"/>
      <c r="D46" s="118"/>
      <c r="E46" s="3" t="s">
        <v>91</v>
      </c>
      <c r="F46" s="1">
        <f>COUNTIF(E$4:E$37,"&lt;16,2")-F45</f>
        <v>0</v>
      </c>
      <c r="G46" s="1"/>
      <c r="H46" s="1"/>
      <c r="J46" s="3" t="s">
        <v>91</v>
      </c>
      <c r="K46" s="1">
        <f>COUNTIF(J$4:J$37,"&lt;6,2")-K45</f>
        <v>0</v>
      </c>
      <c r="L46" s="3" t="s">
        <v>91</v>
      </c>
      <c r="M46" s="1">
        <f>COUNTIF(L$4:L$37,"&lt;3,4")-M45</f>
        <v>0</v>
      </c>
      <c r="N46" s="3" t="s">
        <v>91</v>
      </c>
      <c r="O46" s="1">
        <f>COUNTIF(N$4:N$37,"&lt;3,8")-O45</f>
        <v>0</v>
      </c>
      <c r="P46" s="3" t="s">
        <v>91</v>
      </c>
      <c r="Q46" s="1">
        <f>COUNTIF(P$4:P$37,"&lt;2,8")-Q45</f>
        <v>0</v>
      </c>
      <c r="R46" s="181"/>
      <c r="S46" s="243"/>
      <c r="T46" s="190"/>
      <c r="U46" s="119"/>
      <c r="V46" s="119"/>
      <c r="W46" s="23" t="s">
        <v>91</v>
      </c>
      <c r="X46" s="63">
        <f>COUNTIF(W$4:W$37,"&lt;0,6")-X45</f>
        <v>0</v>
      </c>
      <c r="Y46" s="190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23" t="s">
        <v>91</v>
      </c>
      <c r="AP46" s="53">
        <f>COUNTIF(AO$4:AO$37,"&lt;3,2")-AP45</f>
        <v>0</v>
      </c>
      <c r="AQ46" s="23" t="s">
        <v>91</v>
      </c>
      <c r="AR46" s="53">
        <f>COUNTIF(AQ$4:AQ$37,"&lt;3,8")-AR45</f>
        <v>0</v>
      </c>
      <c r="AS46" s="200"/>
      <c r="AT46" s="200"/>
      <c r="AU46" s="200"/>
      <c r="AV46" s="200"/>
      <c r="AW46" s="23" t="s">
        <v>91</v>
      </c>
      <c r="AX46" s="24">
        <f>COUNTIF(AW$4:AW$37,"&lt;0,8")-AX45</f>
        <v>0</v>
      </c>
      <c r="AY46" s="200"/>
      <c r="AZ46" s="200"/>
      <c r="BA46" s="200"/>
      <c r="BB46" s="200"/>
      <c r="BC46" s="200"/>
      <c r="BD46" s="200"/>
      <c r="BE46" s="200"/>
      <c r="BF46" s="200"/>
      <c r="BG46" s="121" t="s">
        <v>91</v>
      </c>
      <c r="BH46" s="122">
        <f>COUNTIF(BG$4:BG$37,"&lt;1,6")-BH45</f>
        <v>0</v>
      </c>
      <c r="BI46" s="23" t="s">
        <v>91</v>
      </c>
      <c r="BJ46" s="53">
        <f>COUNTIF(BI$4:BI$37,"&lt;2,4")-BJ45</f>
        <v>0</v>
      </c>
      <c r="BK46" s="200"/>
      <c r="BL46" s="200"/>
      <c r="BM46" s="200"/>
      <c r="BN46" s="200"/>
      <c r="BO46" s="200"/>
      <c r="BP46" s="23" t="s">
        <v>91</v>
      </c>
      <c r="BQ46" s="53">
        <f>COUNTIF(BP$4:BP$37,"&lt;1")-BQ45</f>
        <v>0</v>
      </c>
      <c r="BR46" s="200"/>
      <c r="BS46" s="200"/>
      <c r="BT46" s="200"/>
      <c r="BU46" s="200"/>
      <c r="BV46" s="200"/>
      <c r="BW46" s="23" t="s">
        <v>91</v>
      </c>
      <c r="BX46" s="53">
        <f>COUNTIF(BW$4:BW$37,"&lt;1")-BX45</f>
        <v>0</v>
      </c>
      <c r="BY46" s="200"/>
      <c r="BZ46" s="200"/>
      <c r="CA46" s="23" t="s">
        <v>91</v>
      </c>
      <c r="CB46" s="53">
        <f>COUNTIF(CA$4:CA$37,"&lt;0,4")-CB45</f>
        <v>0</v>
      </c>
      <c r="CC46" s="200"/>
      <c r="CD46" s="200"/>
      <c r="CE46" s="200"/>
      <c r="CF46" s="200"/>
      <c r="CG46" s="200"/>
      <c r="CH46" s="23" t="s">
        <v>91</v>
      </c>
      <c r="CI46" s="53">
        <f>COUNTIF(CH$4:CH$37,"&lt;1")-CI45</f>
        <v>0</v>
      </c>
      <c r="CJ46" s="200"/>
      <c r="CK46" s="200"/>
      <c r="CL46" s="200"/>
      <c r="CM46" s="200"/>
      <c r="CN46" s="200"/>
      <c r="CO46" s="200"/>
      <c r="CP46" s="200"/>
      <c r="CQ46" s="200"/>
      <c r="CR46" s="200"/>
      <c r="CS46" s="200"/>
      <c r="CT46" s="200"/>
      <c r="CU46" s="200"/>
      <c r="CV46" s="23" t="s">
        <v>91</v>
      </c>
      <c r="CW46" s="24">
        <f>COUNTIF(CV$4:CV$37,"&lt;2,4")-CW45</f>
        <v>0</v>
      </c>
      <c r="CX46" s="200"/>
      <c r="CY46" s="200"/>
      <c r="CZ46" s="200"/>
      <c r="DA46" s="200"/>
      <c r="DB46" s="200"/>
      <c r="DC46" s="200"/>
      <c r="DD46" s="200"/>
      <c r="DE46" s="23" t="s">
        <v>91</v>
      </c>
      <c r="DF46" s="24">
        <f>COUNTIF(DE$4:DE$37,"&lt;1,4")-DF45</f>
        <v>0</v>
      </c>
      <c r="DG46" s="200"/>
      <c r="DH46" s="200"/>
      <c r="DI46" s="200"/>
      <c r="DJ46" s="200"/>
      <c r="DK46" s="200"/>
      <c r="DL46" s="200"/>
      <c r="DM46" s="200"/>
      <c r="DN46" s="200"/>
      <c r="DO46" s="200"/>
      <c r="DP46" s="200"/>
      <c r="DQ46" s="200"/>
      <c r="DR46" s="200"/>
      <c r="DS46" s="200"/>
      <c r="DT46" s="200"/>
      <c r="DU46" s="23" t="s">
        <v>91</v>
      </c>
      <c r="DV46" s="53">
        <f>COUNTIF(DU$4:DU$37,"&lt;2,4")-DV45</f>
        <v>0</v>
      </c>
    </row>
    <row r="47" spans="1:126" ht="11.25" customHeight="1">
      <c r="A47" s="118"/>
      <c r="B47" s="4"/>
      <c r="C47" s="118"/>
      <c r="D47" s="118"/>
      <c r="E47" s="200" t="s">
        <v>92</v>
      </c>
      <c r="F47" s="1">
        <f>COUNTIF(E$4:E$37,"&lt;24,3")-SUM(E45:F46)</f>
        <v>0</v>
      </c>
      <c r="G47" s="1"/>
      <c r="H47" s="1"/>
      <c r="I47" s="200"/>
      <c r="J47" s="200" t="s">
        <v>92</v>
      </c>
      <c r="K47" s="1">
        <f>COUNTIF(J$4:J$37,"&lt;9,3")-SUM(K45:K46)</f>
        <v>0</v>
      </c>
      <c r="L47" s="200" t="s">
        <v>92</v>
      </c>
      <c r="M47" s="1">
        <f>COUNTIF(L$4:L$37,"&lt;5,1")-SUM(M45:M46)</f>
        <v>0</v>
      </c>
      <c r="N47" s="200" t="s">
        <v>92</v>
      </c>
      <c r="O47" s="1">
        <f>COUNTIF(N$4:N$37,"&lt;5,7")-SUM(O45:O46)</f>
        <v>0</v>
      </c>
      <c r="P47" s="200" t="s">
        <v>92</v>
      </c>
      <c r="Q47" s="1">
        <f>COUNTIF(P$4:P$37,"&lt;4,2")-SUM(Q45:Q46)</f>
        <v>0</v>
      </c>
      <c r="R47" s="181"/>
      <c r="S47" s="243"/>
      <c r="T47" s="190"/>
      <c r="U47" s="119"/>
      <c r="V47" s="119"/>
      <c r="W47" s="23" t="s">
        <v>92</v>
      </c>
      <c r="X47" s="63">
        <f>COUNTIF(W$4:W$37,"&lt;0,9")-SUM(X45:X46)</f>
        <v>0</v>
      </c>
      <c r="Y47" s="190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23" t="s">
        <v>92</v>
      </c>
      <c r="AP47" s="53">
        <f>COUNTIF(AO$4:AO$37,"&lt;4,8")-SUM(AP45:AP46)</f>
        <v>0</v>
      </c>
      <c r="AQ47" s="23" t="s">
        <v>92</v>
      </c>
      <c r="AR47" s="53">
        <f>COUNTIF(AQ$4:AQ$37,"&lt;5,7")-SUM(AR45:AR46)</f>
        <v>0</v>
      </c>
      <c r="AS47" s="200"/>
      <c r="AT47" s="200"/>
      <c r="AU47" s="200"/>
      <c r="AV47" s="200"/>
      <c r="AW47" s="23" t="s">
        <v>92</v>
      </c>
      <c r="AX47" s="24">
        <f>COUNTIF(AW$4:AW$37,"&lt;1,2")-SUM(AX45:AX46)</f>
        <v>0</v>
      </c>
      <c r="AY47" s="200"/>
      <c r="AZ47" s="200"/>
      <c r="BA47" s="200"/>
      <c r="BB47" s="200"/>
      <c r="BC47" s="200"/>
      <c r="BD47" s="200"/>
      <c r="BE47" s="200"/>
      <c r="BF47" s="200"/>
      <c r="BG47" s="121" t="s">
        <v>92</v>
      </c>
      <c r="BH47" s="122">
        <f>COUNTIF(BG$4:BG$37,"&lt;2,4")-SUM(BH45:BH46)</f>
        <v>0</v>
      </c>
      <c r="BI47" s="23" t="s">
        <v>92</v>
      </c>
      <c r="BJ47" s="53">
        <f>COUNTIF(BI$4:BI$37,"&lt;3,6")-SUM(BJ45:BJ46)</f>
        <v>0</v>
      </c>
      <c r="BK47" s="200"/>
      <c r="BL47" s="200"/>
      <c r="BM47" s="200"/>
      <c r="BN47" s="200"/>
      <c r="BO47" s="200"/>
      <c r="BP47" s="23" t="s">
        <v>92</v>
      </c>
      <c r="BQ47" s="53">
        <f>COUNTIF(BP$4:BP$37,"&lt;1,5")-SUM(BQ45:BQ46)</f>
        <v>0</v>
      </c>
      <c r="BR47" s="200"/>
      <c r="BS47" s="200"/>
      <c r="BT47" s="200"/>
      <c r="BU47" s="200"/>
      <c r="BV47" s="200"/>
      <c r="BW47" s="23" t="s">
        <v>92</v>
      </c>
      <c r="BX47" s="53">
        <f>COUNTIF(BW$4:BW$37,"&lt;1,5")-SUM(BX45:BX46)</f>
        <v>0</v>
      </c>
      <c r="BY47" s="200"/>
      <c r="BZ47" s="200"/>
      <c r="CA47" s="23" t="s">
        <v>92</v>
      </c>
      <c r="CB47" s="53">
        <f>COUNTIF(CA$4:CA$37,"&lt;0,6")-SUM(CB45:CB46)</f>
        <v>0</v>
      </c>
      <c r="CC47" s="200"/>
      <c r="CD47" s="200"/>
      <c r="CE47" s="200"/>
      <c r="CF47" s="200"/>
      <c r="CG47" s="200"/>
      <c r="CH47" s="23" t="s">
        <v>92</v>
      </c>
      <c r="CI47" s="53">
        <f>COUNTIF(CH$4:CH$37,"&lt;1,5")-SUM(CI45:CI46)</f>
        <v>0</v>
      </c>
      <c r="CJ47" s="200"/>
      <c r="CK47" s="200"/>
      <c r="CL47" s="200"/>
      <c r="CM47" s="200"/>
      <c r="CN47" s="200"/>
      <c r="CO47" s="200"/>
      <c r="CP47" s="200"/>
      <c r="CQ47" s="200"/>
      <c r="CR47" s="200"/>
      <c r="CS47" s="200"/>
      <c r="CT47" s="200"/>
      <c r="CU47" s="200"/>
      <c r="CV47" s="23" t="s">
        <v>92</v>
      </c>
      <c r="CW47" s="24">
        <f>COUNTIF(CV$4:CV$37,"&lt;3,6")-SUM(CW45:CW46)</f>
        <v>0</v>
      </c>
      <c r="CX47" s="200"/>
      <c r="CY47" s="200"/>
      <c r="CZ47" s="200"/>
      <c r="DA47" s="200"/>
      <c r="DB47" s="200"/>
      <c r="DC47" s="200"/>
      <c r="DD47" s="200"/>
      <c r="DE47" s="23" t="s">
        <v>92</v>
      </c>
      <c r="DF47" s="24">
        <f>COUNTIF(DE$4:DE$37,"&lt;2,1")-SUM(DF45:DF46)</f>
        <v>0</v>
      </c>
      <c r="DG47" s="200"/>
      <c r="DH47" s="200"/>
      <c r="DI47" s="200"/>
      <c r="DJ47" s="200"/>
      <c r="DK47" s="200"/>
      <c r="DL47" s="200"/>
      <c r="DM47" s="200"/>
      <c r="DN47" s="200"/>
      <c r="DO47" s="200"/>
      <c r="DP47" s="200"/>
      <c r="DQ47" s="200"/>
      <c r="DR47" s="200"/>
      <c r="DS47" s="200"/>
      <c r="DT47" s="200"/>
      <c r="DU47" s="23" t="s">
        <v>92</v>
      </c>
      <c r="DV47" s="53">
        <f>COUNTIF(DU$4:DU$37,"&lt;3,6")-SUM(DV45:DV46)</f>
        <v>0</v>
      </c>
    </row>
    <row r="48" spans="1:126" ht="11.25" customHeight="1">
      <c r="A48" s="118"/>
      <c r="B48" s="4"/>
      <c r="C48" s="118"/>
      <c r="D48" s="118"/>
      <c r="E48" s="3" t="s">
        <v>93</v>
      </c>
      <c r="F48" s="1">
        <f>COUNTIF(E$4:E$37,"&lt;32,4")-SUM(F45:F47)</f>
        <v>0</v>
      </c>
      <c r="G48" s="1"/>
      <c r="H48" s="1"/>
      <c r="I48" s="2"/>
      <c r="J48" s="3" t="s">
        <v>93</v>
      </c>
      <c r="K48" s="1">
        <f>COUNTIF(J$4:J$37,"&lt;12,4")-SUM(K45:K47)</f>
        <v>0</v>
      </c>
      <c r="L48" s="3" t="s">
        <v>93</v>
      </c>
      <c r="M48" s="1">
        <f>COUNTIF(L$4:L$37,"&lt;6,8")-SUM(M45:M47)</f>
        <v>0</v>
      </c>
      <c r="N48" s="3" t="s">
        <v>93</v>
      </c>
      <c r="O48" s="1">
        <f>COUNTIF(N$4:N$37,"&lt;7,6")-SUM(O45:O47)</f>
        <v>0</v>
      </c>
      <c r="P48" s="3" t="s">
        <v>93</v>
      </c>
      <c r="Q48" s="1">
        <f>COUNTIF(P$4:P$37,"&lt;5,6")-SUM(Q45:Q47)</f>
        <v>0</v>
      </c>
      <c r="R48" s="181"/>
      <c r="S48" s="243"/>
      <c r="T48" s="190"/>
      <c r="U48" s="119"/>
      <c r="V48" s="119"/>
      <c r="W48" s="23" t="s">
        <v>93</v>
      </c>
      <c r="X48" s="63">
        <f>COUNTIF(W$4:W$37,"&lt;1,2")-SUM(X45:X47)</f>
        <v>0</v>
      </c>
      <c r="Y48" s="190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23" t="s">
        <v>93</v>
      </c>
      <c r="AP48" s="53">
        <f>COUNTIF(AO$4:AO$37,"&lt;6,4")-SUM(AP45:AP47)</f>
        <v>0</v>
      </c>
      <c r="AQ48" s="23" t="s">
        <v>93</v>
      </c>
      <c r="AR48" s="53">
        <f>COUNTIF(AQ$4:AQ$37,"&lt;7,6")-SUM(AR45:AR47)</f>
        <v>0</v>
      </c>
      <c r="AS48" s="200"/>
      <c r="AT48" s="200"/>
      <c r="AU48" s="200"/>
      <c r="AV48" s="200"/>
      <c r="AW48" s="23" t="s">
        <v>93</v>
      </c>
      <c r="AX48" s="24">
        <f>COUNTIF(AW$4:AW$37,"&lt;1,6")-SUM(AX45:AX47)</f>
        <v>0</v>
      </c>
      <c r="AY48" s="200"/>
      <c r="AZ48" s="200"/>
      <c r="BA48" s="200"/>
      <c r="BB48" s="200"/>
      <c r="BC48" s="200"/>
      <c r="BD48" s="200"/>
      <c r="BE48" s="200"/>
      <c r="BF48" s="200"/>
      <c r="BG48" s="121" t="s">
        <v>93</v>
      </c>
      <c r="BH48" s="122">
        <f>COUNTIF(BG$4:BG$37,"&lt;3,2")-SUM(BH45:BH47)</f>
        <v>0</v>
      </c>
      <c r="BI48" s="23" t="s">
        <v>93</v>
      </c>
      <c r="BJ48" s="53">
        <f>COUNTIF(BI$4:BI$37,"&lt;4,8")-SUM(BJ45:BJ47)</f>
        <v>0</v>
      </c>
      <c r="BK48" s="200"/>
      <c r="BL48" s="200"/>
      <c r="BM48" s="200"/>
      <c r="BN48" s="200"/>
      <c r="BO48" s="200"/>
      <c r="BP48" s="23" t="s">
        <v>93</v>
      </c>
      <c r="BQ48" s="53">
        <f>COUNTIF(BP$4:BP$37,"&lt;2")-SUM(BQ45:BQ47)</f>
        <v>0</v>
      </c>
      <c r="BR48" s="200"/>
      <c r="BS48" s="200"/>
      <c r="BT48" s="200"/>
      <c r="BU48" s="200"/>
      <c r="BV48" s="200"/>
      <c r="BW48" s="23" t="s">
        <v>93</v>
      </c>
      <c r="BX48" s="53">
        <f>COUNTIF(BW$4:BW$37,"&lt;2")-SUM(BX45:BX47)</f>
        <v>0</v>
      </c>
      <c r="BY48" s="200"/>
      <c r="BZ48" s="200"/>
      <c r="CA48" s="23" t="s">
        <v>93</v>
      </c>
      <c r="CB48" s="53">
        <f>COUNTIF(CA$4:CA$37,"&lt;0,8")-SUM(CB45:CB47)</f>
        <v>0</v>
      </c>
      <c r="CC48" s="200"/>
      <c r="CD48" s="200"/>
      <c r="CE48" s="200"/>
      <c r="CF48" s="200"/>
      <c r="CG48" s="200"/>
      <c r="CH48" s="23" t="s">
        <v>93</v>
      </c>
      <c r="CI48" s="53">
        <f>COUNTIF(CH$4:CH$37,"&lt;2")-SUM(CI45:CI47)</f>
        <v>0</v>
      </c>
      <c r="CJ48" s="200"/>
      <c r="CK48" s="200"/>
      <c r="CL48" s="200"/>
      <c r="CM48" s="200"/>
      <c r="CN48" s="200"/>
      <c r="CO48" s="200"/>
      <c r="CP48" s="200"/>
      <c r="CQ48" s="200"/>
      <c r="CR48" s="200"/>
      <c r="CS48" s="200"/>
      <c r="CT48" s="200"/>
      <c r="CU48" s="200"/>
      <c r="CV48" s="23" t="s">
        <v>93</v>
      </c>
      <c r="CW48" s="24">
        <f>COUNTIF(CV$4:CV$37,"&lt;4,8")-SUM(CW45:CW47)</f>
        <v>0</v>
      </c>
      <c r="CX48" s="200"/>
      <c r="CY48" s="200"/>
      <c r="CZ48" s="200"/>
      <c r="DA48" s="200"/>
      <c r="DB48" s="200"/>
      <c r="DC48" s="200"/>
      <c r="DD48" s="200"/>
      <c r="DE48" s="23" t="s">
        <v>93</v>
      </c>
      <c r="DF48" s="24">
        <f>COUNTIF(DE$4:DE$37,"&lt;2,8")-SUM(DF45:DF47)</f>
        <v>0</v>
      </c>
      <c r="DG48" s="200"/>
      <c r="DH48" s="200"/>
      <c r="DI48" s="200"/>
      <c r="DJ48" s="200"/>
      <c r="DK48" s="200"/>
      <c r="DL48" s="200"/>
      <c r="DM48" s="200"/>
      <c r="DN48" s="200"/>
      <c r="DO48" s="200"/>
      <c r="DP48" s="200"/>
      <c r="DQ48" s="200"/>
      <c r="DR48" s="200"/>
      <c r="DS48" s="200"/>
      <c r="DT48" s="200"/>
      <c r="DU48" s="23" t="s">
        <v>93</v>
      </c>
      <c r="DV48" s="53">
        <f>COUNTIF(DU$4:DU$37,"&lt;4,8")-SUM(DV45:DV47)</f>
        <v>0</v>
      </c>
    </row>
    <row r="49" spans="1:126" ht="11.25" customHeight="1">
      <c r="A49" s="118"/>
      <c r="B49" s="4"/>
      <c r="C49" s="118"/>
      <c r="D49" s="118"/>
      <c r="E49" s="3" t="s">
        <v>94</v>
      </c>
      <c r="F49" s="1">
        <f>COUNTIF(E$4:E$37,"&lt;40,5")-SUM(F45:F48)</f>
        <v>0</v>
      </c>
      <c r="G49" s="1"/>
      <c r="H49" s="1"/>
      <c r="I49" s="2"/>
      <c r="J49" s="3" t="s">
        <v>94</v>
      </c>
      <c r="K49" s="1">
        <f>COUNTIF(J$4:J$37,"&lt;15,5")-SUM(K45:K48)</f>
        <v>0</v>
      </c>
      <c r="L49" s="3" t="s">
        <v>94</v>
      </c>
      <c r="M49" s="1">
        <f>COUNTIF(L$4:L$37,"&lt;8,5")-SUM(M45:M48)</f>
        <v>0</v>
      </c>
      <c r="N49" s="3" t="s">
        <v>94</v>
      </c>
      <c r="O49" s="1">
        <f>COUNTIF(N$4:N$37,"&lt;9,5")-SUM(O45:O48)</f>
        <v>0</v>
      </c>
      <c r="P49" s="3" t="s">
        <v>94</v>
      </c>
      <c r="Q49" s="1">
        <f>COUNTIF(P$4:P$37,"&lt;7")-SUM(Q45:Q48)</f>
        <v>0</v>
      </c>
      <c r="R49" s="181"/>
      <c r="S49" s="243"/>
      <c r="T49" s="190"/>
      <c r="U49" s="119"/>
      <c r="V49" s="119"/>
      <c r="W49" s="23" t="s">
        <v>94</v>
      </c>
      <c r="X49" s="63">
        <f>COUNTIF(W$4:W$37,"&lt;1,5")-SUM(X45:X48)</f>
        <v>0</v>
      </c>
      <c r="Y49" s="190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23" t="s">
        <v>94</v>
      </c>
      <c r="AP49" s="53">
        <f>COUNTIF(AO$4:AO$37,"&lt;8")-SUM(AP45:AP48)</f>
        <v>0</v>
      </c>
      <c r="AQ49" s="23" t="s">
        <v>94</v>
      </c>
      <c r="AR49" s="53">
        <f>COUNTIF(AQ$4:AQ$37,"&lt;9,5")-SUM(AR45:AR48)</f>
        <v>0</v>
      </c>
      <c r="AS49" s="200"/>
      <c r="AT49" s="200"/>
      <c r="AU49" s="200"/>
      <c r="AV49" s="200"/>
      <c r="AW49" s="23" t="s">
        <v>94</v>
      </c>
      <c r="AX49" s="24">
        <f>COUNTIF(AW$4:AW$37,"&lt;2")-SUM(AX45:AX48)</f>
        <v>0</v>
      </c>
      <c r="AY49" s="200"/>
      <c r="AZ49" s="200"/>
      <c r="BA49" s="200"/>
      <c r="BB49" s="200"/>
      <c r="BC49" s="200"/>
      <c r="BD49" s="200"/>
      <c r="BE49" s="200"/>
      <c r="BF49" s="200"/>
      <c r="BG49" s="121" t="s">
        <v>94</v>
      </c>
      <c r="BH49" s="122">
        <f>COUNTIF(BG$4:BG$37,"&lt;4")-SUM(BH45:BH48)</f>
        <v>0</v>
      </c>
      <c r="BI49" s="23" t="s">
        <v>94</v>
      </c>
      <c r="BJ49" s="53">
        <f>COUNTIF(BI$4:BI$37,"&lt;6")-SUM(BJ45:BJ48)</f>
        <v>0</v>
      </c>
      <c r="BK49" s="200"/>
      <c r="BL49" s="200"/>
      <c r="BM49" s="200"/>
      <c r="BN49" s="200"/>
      <c r="BO49" s="200"/>
      <c r="BP49" s="23" t="s">
        <v>94</v>
      </c>
      <c r="BQ49" s="53">
        <f>COUNTIF(BP$4:BP$37,"&lt;2,5")-SUM(BQ45:BQ48)</f>
        <v>0</v>
      </c>
      <c r="BR49" s="200"/>
      <c r="BS49" s="200"/>
      <c r="BT49" s="200"/>
      <c r="BU49" s="200"/>
      <c r="BV49" s="200"/>
      <c r="BW49" s="23" t="s">
        <v>94</v>
      </c>
      <c r="BX49" s="53">
        <f>COUNTIF(BW$4:BW$37,"&lt;2,5")-SUM(BX45:BX48)</f>
        <v>0</v>
      </c>
      <c r="BY49" s="200"/>
      <c r="BZ49" s="200"/>
      <c r="CA49" s="23" t="s">
        <v>94</v>
      </c>
      <c r="CB49" s="53">
        <f>COUNTIF(CA$4:CA$37,"&lt;1")-SUM(CB45:CB48)</f>
        <v>0</v>
      </c>
      <c r="CC49" s="200"/>
      <c r="CD49" s="200"/>
      <c r="CE49" s="200"/>
      <c r="CF49" s="200"/>
      <c r="CG49" s="200"/>
      <c r="CH49" s="23" t="s">
        <v>94</v>
      </c>
      <c r="CI49" s="53">
        <f>COUNTIF(CH$4:CH$37,"&lt;2,5")-SUM(CI45:CI48)</f>
        <v>0</v>
      </c>
      <c r="CJ49" s="200"/>
      <c r="CK49" s="200"/>
      <c r="CL49" s="200"/>
      <c r="CM49" s="200"/>
      <c r="CN49" s="200"/>
      <c r="CO49" s="200"/>
      <c r="CP49" s="200"/>
      <c r="CQ49" s="200"/>
      <c r="CR49" s="200"/>
      <c r="CS49" s="200"/>
      <c r="CT49" s="200"/>
      <c r="CU49" s="200"/>
      <c r="CV49" s="23" t="s">
        <v>94</v>
      </c>
      <c r="CW49" s="24">
        <f>COUNTIF(CV$4:CV$37,"&lt;6")-SUM(CW45:CW48)</f>
        <v>0</v>
      </c>
      <c r="CX49" s="200"/>
      <c r="CY49" s="200"/>
      <c r="CZ49" s="200"/>
      <c r="DA49" s="200"/>
      <c r="DB49" s="200"/>
      <c r="DC49" s="200"/>
      <c r="DD49" s="200"/>
      <c r="DE49" s="23" t="s">
        <v>94</v>
      </c>
      <c r="DF49" s="24">
        <f>COUNTIF(DE$4:DE$37,"&lt;3,5")-SUM(DF45:DF48)</f>
        <v>0</v>
      </c>
      <c r="DG49" s="200"/>
      <c r="DH49" s="200"/>
      <c r="DI49" s="200"/>
      <c r="DJ49" s="200"/>
      <c r="DK49" s="200"/>
      <c r="DL49" s="200"/>
      <c r="DM49" s="200"/>
      <c r="DN49" s="200"/>
      <c r="DO49" s="200"/>
      <c r="DP49" s="200"/>
      <c r="DQ49" s="200"/>
      <c r="DR49" s="200"/>
      <c r="DS49" s="200"/>
      <c r="DT49" s="200"/>
      <c r="DU49" s="23" t="s">
        <v>94</v>
      </c>
      <c r="DV49" s="53">
        <f>COUNTIF(DU$4:DU$37,"&lt;6")-SUM(DV45:DV48)</f>
        <v>0</v>
      </c>
    </row>
    <row r="50" spans="1:126" ht="11.25" customHeight="1">
      <c r="A50" s="118"/>
      <c r="B50" s="4"/>
      <c r="C50" s="118"/>
      <c r="D50" s="118"/>
      <c r="E50" s="3" t="s">
        <v>95</v>
      </c>
      <c r="F50" s="1">
        <f>COUNTIF(E$1:E$36,"&lt;48,6")-SUM(F45:F49)</f>
        <v>0</v>
      </c>
      <c r="G50" s="1"/>
      <c r="H50" s="1"/>
      <c r="I50" s="2"/>
      <c r="J50" s="3" t="s">
        <v>95</v>
      </c>
      <c r="K50" s="1">
        <f>COUNTIF(J$4:J$37,"&lt;18,6")-SUM(K45:K49)</f>
        <v>0</v>
      </c>
      <c r="L50" s="3" t="s">
        <v>95</v>
      </c>
      <c r="M50" s="1">
        <f>COUNTIF(L$4:L$37,"&lt;10,2")-SUM(M45:M49)</f>
        <v>0</v>
      </c>
      <c r="N50" s="3" t="s">
        <v>95</v>
      </c>
      <c r="O50" s="1">
        <f>COUNTIF(N$4:N$37,"&lt;11,4")-SUM(O45:O49)</f>
        <v>0</v>
      </c>
      <c r="P50" s="3" t="s">
        <v>95</v>
      </c>
      <c r="Q50" s="1">
        <f>COUNTIF(P$4:P$37,"&lt;8,4")-SUM(Q45:Q49)</f>
        <v>0</v>
      </c>
      <c r="R50" s="181"/>
      <c r="S50" s="243"/>
      <c r="T50" s="190"/>
      <c r="U50" s="119"/>
      <c r="V50" s="119"/>
      <c r="W50" s="23" t="s">
        <v>95</v>
      </c>
      <c r="X50" s="63">
        <f>COUNTIF(W$4:W$37,"&lt;1,8")-SUM(X45:X49)</f>
        <v>0</v>
      </c>
      <c r="Y50" s="190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23" t="s">
        <v>95</v>
      </c>
      <c r="AP50" s="53">
        <f>COUNTIF(AO$4:AO$37,"&lt;9,6")-SUM(AP45:AP49)</f>
        <v>0</v>
      </c>
      <c r="AQ50" s="23" t="s">
        <v>95</v>
      </c>
      <c r="AR50" s="53">
        <f>COUNTIF(AQ$4:AQ$37,"&lt;11,4")-SUM(AR45:AR49)</f>
        <v>0</v>
      </c>
      <c r="AS50" s="200"/>
      <c r="AT50" s="200"/>
      <c r="AU50" s="200"/>
      <c r="AV50" s="200"/>
      <c r="AW50" s="23" t="s">
        <v>95</v>
      </c>
      <c r="AX50" s="24">
        <f>COUNTIF(AW$4:AW$37,"&lt;2,4")-SUM(AX45:AX49)</f>
        <v>0</v>
      </c>
      <c r="AY50" s="200"/>
      <c r="AZ50" s="200"/>
      <c r="BA50" s="200"/>
      <c r="BB50" s="200"/>
      <c r="BC50" s="200"/>
      <c r="BD50" s="200"/>
      <c r="BE50" s="200"/>
      <c r="BF50" s="200"/>
      <c r="BG50" s="121" t="s">
        <v>95</v>
      </c>
      <c r="BH50" s="122">
        <f>COUNTIF(BG$4:BG$37,"&lt;4,8")-SUM(BH45:BH49)</f>
        <v>0</v>
      </c>
      <c r="BI50" s="23" t="s">
        <v>95</v>
      </c>
      <c r="BJ50" s="53">
        <f>COUNTIF(BI$4:BI$37,"&lt;7,2")-SUM(BJ45:BJ49)</f>
        <v>0</v>
      </c>
      <c r="BK50" s="200"/>
      <c r="BL50" s="200"/>
      <c r="BM50" s="200"/>
      <c r="BN50" s="200"/>
      <c r="BO50" s="200"/>
      <c r="BP50" s="23" t="s">
        <v>95</v>
      </c>
      <c r="BQ50" s="53">
        <f>COUNTIF(BP$4:BP$37,"&lt;3")-SUM(BQ45:BQ49)</f>
        <v>0</v>
      </c>
      <c r="BR50" s="200"/>
      <c r="BS50" s="200"/>
      <c r="BT50" s="200"/>
      <c r="BU50" s="200"/>
      <c r="BV50" s="200"/>
      <c r="BW50" s="23" t="s">
        <v>95</v>
      </c>
      <c r="BX50" s="53">
        <f>COUNTIF(BW$4:BW$37,"&lt;3")-SUM(BX45:BX49)</f>
        <v>0</v>
      </c>
      <c r="BY50" s="200"/>
      <c r="BZ50" s="200"/>
      <c r="CA50" s="23" t="s">
        <v>95</v>
      </c>
      <c r="CB50" s="53">
        <f>COUNTIF(CA$4:CA$37,"&lt;1,2")-SUM(CB45:CB49)</f>
        <v>0</v>
      </c>
      <c r="CC50" s="200"/>
      <c r="CD50" s="200"/>
      <c r="CE50" s="200"/>
      <c r="CF50" s="200"/>
      <c r="CG50" s="200"/>
      <c r="CH50" s="23" t="s">
        <v>95</v>
      </c>
      <c r="CI50" s="53">
        <f>COUNTIF(CH$4:CH$37,"&lt;3")-SUM(CI45:CI49)</f>
        <v>0</v>
      </c>
      <c r="CJ50" s="200"/>
      <c r="CK50" s="200"/>
      <c r="CL50" s="200"/>
      <c r="CM50" s="200"/>
      <c r="CN50" s="200"/>
      <c r="CO50" s="200"/>
      <c r="CP50" s="200"/>
      <c r="CQ50" s="200"/>
      <c r="CR50" s="200"/>
      <c r="CS50" s="200"/>
      <c r="CT50" s="200"/>
      <c r="CU50" s="200"/>
      <c r="CV50" s="23" t="s">
        <v>95</v>
      </c>
      <c r="CW50" s="24">
        <f>COUNTIF(CV$4:CV$37,"&lt;7,2")-SUM(CW45:CW49)</f>
        <v>0</v>
      </c>
      <c r="CX50" s="200"/>
      <c r="CY50" s="200"/>
      <c r="CZ50" s="200"/>
      <c r="DA50" s="200"/>
      <c r="DB50" s="200"/>
      <c r="DC50" s="200"/>
      <c r="DD50" s="200"/>
      <c r="DE50" s="23" t="s">
        <v>95</v>
      </c>
      <c r="DF50" s="24">
        <f>COUNTIF(DE$4:DE$37,"&lt;4,2")-SUM(DF45:DF49)</f>
        <v>0</v>
      </c>
      <c r="DG50" s="200"/>
      <c r="DH50" s="200"/>
      <c r="DI50" s="200"/>
      <c r="DJ50" s="200"/>
      <c r="DK50" s="200"/>
      <c r="DL50" s="200"/>
      <c r="DM50" s="200"/>
      <c r="DN50" s="200"/>
      <c r="DO50" s="200"/>
      <c r="DP50" s="200"/>
      <c r="DQ50" s="200"/>
      <c r="DR50" s="200"/>
      <c r="DS50" s="200"/>
      <c r="DT50" s="200"/>
      <c r="DU50" s="23" t="s">
        <v>95</v>
      </c>
      <c r="DV50" s="53">
        <f>COUNTIF(DU$4:DU$37,"&lt;7,2")-SUM(DV45:DV49)</f>
        <v>0</v>
      </c>
    </row>
    <row r="51" spans="1:126" ht="11.25" customHeight="1">
      <c r="A51" s="118"/>
      <c r="B51" s="4"/>
      <c r="C51" s="118"/>
      <c r="E51" s="3" t="s">
        <v>67</v>
      </c>
      <c r="F51" s="1">
        <f>COUNTIF(E$4:E$37,"&lt;56,7")-SUM(F45:F50)</f>
        <v>0</v>
      </c>
      <c r="G51" s="1"/>
      <c r="H51" s="1"/>
      <c r="I51" s="2"/>
      <c r="J51" s="3" t="s">
        <v>67</v>
      </c>
      <c r="K51" s="1">
        <f>COUNTIF(J$4:J$37,"&lt;21,7")-SUM(K45:K50)</f>
        <v>0</v>
      </c>
      <c r="L51" s="3" t="s">
        <v>67</v>
      </c>
      <c r="M51" s="1">
        <f>COUNTIF(L$4:L$37,"&lt;11,9")-SUM(M45:M50)</f>
        <v>0</v>
      </c>
      <c r="N51" s="3" t="s">
        <v>67</v>
      </c>
      <c r="O51" s="1">
        <f>COUNTIF(N$4:N$37,"&lt;13,3")-SUM(O45:O50)</f>
        <v>0</v>
      </c>
      <c r="P51" s="3" t="s">
        <v>67</v>
      </c>
      <c r="Q51" s="1">
        <f>COUNTIF(P$4:P$37,"&lt;9,8")-SUM(Q45:Q50)</f>
        <v>0</v>
      </c>
      <c r="R51" s="181"/>
      <c r="S51" s="243"/>
      <c r="T51" s="191"/>
      <c r="U51" s="37"/>
      <c r="V51" s="37"/>
      <c r="W51" s="23" t="s">
        <v>67</v>
      </c>
      <c r="X51" s="53">
        <f>COUNTIF(W$4:W$37,"&lt;2,1")-SUM(X45:X50)</f>
        <v>0</v>
      </c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23" t="s">
        <v>67</v>
      </c>
      <c r="AP51" s="53">
        <f>COUNTIF(AO$4:AO$37,"&lt;11,2")-SUM(AP45:AP50)</f>
        <v>0</v>
      </c>
      <c r="AQ51" s="23" t="s">
        <v>67</v>
      </c>
      <c r="AR51" s="53">
        <f>COUNTIF(AQ$4:AQ$37,"&lt;13,3")-SUM(AR45:AR50)</f>
        <v>0</v>
      </c>
      <c r="AS51" s="37"/>
      <c r="AT51" s="37"/>
      <c r="AU51" s="37"/>
      <c r="AV51" s="37"/>
      <c r="AW51" s="23" t="s">
        <v>67</v>
      </c>
      <c r="AX51" s="24">
        <f>COUNTIF(AW$4:AW$37,"&lt;2,8")-SUM(AX45:AX50)</f>
        <v>0</v>
      </c>
      <c r="AY51" s="37"/>
      <c r="AZ51" s="37"/>
      <c r="BA51" s="37"/>
      <c r="BB51" s="37"/>
      <c r="BC51" s="37"/>
      <c r="BD51" s="37"/>
      <c r="BE51" s="37"/>
      <c r="BF51" s="37"/>
      <c r="BG51" s="121" t="s">
        <v>67</v>
      </c>
      <c r="BH51" s="122">
        <f>COUNTIF(BG$4:BG$37,"&lt;5,6")-SUM(BH45:BH50)</f>
        <v>0</v>
      </c>
      <c r="BI51" s="23" t="s">
        <v>67</v>
      </c>
      <c r="BJ51" s="53">
        <f>COUNTIF(BI$4:BI$37,"&lt;8,4")-SUM(BJ45:BJ50)</f>
        <v>0</v>
      </c>
      <c r="BK51" s="200"/>
      <c r="BL51" s="200"/>
      <c r="BM51" s="200"/>
      <c r="BN51" s="200"/>
      <c r="BO51" s="200"/>
      <c r="BP51" s="23" t="s">
        <v>67</v>
      </c>
      <c r="BQ51" s="53">
        <f>COUNTIF(BP$4:BP$37,"&lt;3,5")-SUM(BQ45:BQ50)</f>
        <v>0</v>
      </c>
      <c r="BR51" s="38"/>
      <c r="BS51" s="38"/>
      <c r="BT51" s="38"/>
      <c r="BU51" s="38"/>
      <c r="BV51" s="38"/>
      <c r="BW51" s="23" t="s">
        <v>67</v>
      </c>
      <c r="BX51" s="53">
        <f>COUNTIF(BW$4:BW$37,"&lt;3,5")-SUM(BX45:BX50)</f>
        <v>0</v>
      </c>
      <c r="BY51" s="38"/>
      <c r="BZ51" s="38"/>
      <c r="CA51" s="23" t="s">
        <v>67</v>
      </c>
      <c r="CB51" s="53">
        <f>COUNTIF(CA$4:CA$37,"&lt;1,4")-SUM(CB45:CB50)</f>
        <v>0</v>
      </c>
      <c r="CC51" s="38"/>
      <c r="CD51" s="38"/>
      <c r="CE51" s="38"/>
      <c r="CF51" s="38"/>
      <c r="CG51" s="38"/>
      <c r="CH51" s="23" t="s">
        <v>67</v>
      </c>
      <c r="CI51" s="53">
        <f>COUNTIF(CH$4:CH$37,"&lt;3,5")-SUM(CI45:CI50)</f>
        <v>0</v>
      </c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23" t="s">
        <v>67</v>
      </c>
      <c r="CW51" s="24">
        <f>COUNTIF(CV$4:CV$37,"&lt;8,4")-SUM(CW45:CW50)</f>
        <v>0</v>
      </c>
      <c r="CX51" s="37"/>
      <c r="CY51" s="37"/>
      <c r="CZ51" s="37"/>
      <c r="DA51" s="37"/>
      <c r="DB51" s="37"/>
      <c r="DC51" s="37"/>
      <c r="DD51" s="37"/>
      <c r="DE51" s="23" t="s">
        <v>67</v>
      </c>
      <c r="DF51" s="24">
        <f>COUNTIF(DE$4:DE$37,"&lt;4,9")-SUM(DF45:DF50)</f>
        <v>0</v>
      </c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23" t="s">
        <v>67</v>
      </c>
      <c r="DV51" s="53">
        <f>COUNTIF(DU$4:DU$37,"&lt;8,4")-SUM(DV45:DV50)</f>
        <v>0</v>
      </c>
    </row>
    <row r="52" spans="1:126" ht="12.75">
      <c r="A52" s="118"/>
      <c r="B52" s="4"/>
      <c r="C52" s="118"/>
      <c r="D52" s="86"/>
      <c r="E52" s="3" t="s">
        <v>68</v>
      </c>
      <c r="F52" s="1">
        <f>COUNTIF(E$4:E$37,"&lt;64,8")-SUM(F45:F51)</f>
        <v>0</v>
      </c>
      <c r="G52" s="1"/>
      <c r="H52" s="1"/>
      <c r="I52" s="2"/>
      <c r="J52" s="3" t="s">
        <v>68</v>
      </c>
      <c r="K52" s="1">
        <f>COUNTIF(J$4:J$37,"&lt;24,8")-SUM(K45:K51)</f>
        <v>0</v>
      </c>
      <c r="L52" s="3" t="s">
        <v>68</v>
      </c>
      <c r="M52" s="1">
        <f>COUNTIF(L$4:L$37,"&lt;13,6")-SUM(M45:M51)</f>
        <v>0</v>
      </c>
      <c r="N52" s="3" t="s">
        <v>68</v>
      </c>
      <c r="O52" s="1">
        <f>COUNTIF(N$4:N$37,"&lt;15,2")-SUM(O45:O51)</f>
        <v>0</v>
      </c>
      <c r="P52" s="3" t="s">
        <v>68</v>
      </c>
      <c r="Q52" s="1">
        <f>COUNTIF(P$4:P$37,"&lt;11,2")-SUM(Q45:Q51)</f>
        <v>0</v>
      </c>
      <c r="R52" s="181"/>
      <c r="S52" s="243" t="s">
        <v>104</v>
      </c>
      <c r="T52" s="192">
        <f>IF(T39=0,"",T40/T39)</f>
      </c>
      <c r="U52" s="49">
        <f>IF(U39=0,"",U40/U39)</f>
      </c>
      <c r="V52" s="49">
        <f>IF(V39=0,"",V40/V39)</f>
      </c>
      <c r="W52" s="23" t="s">
        <v>68</v>
      </c>
      <c r="X52" s="53">
        <f>COUNTIF(W$4:W$37,"&lt;2,4")-SUM(X45:X51)</f>
        <v>0</v>
      </c>
      <c r="Y52" s="49">
        <f>IF(Y39=0,"",Y40/Y39)</f>
      </c>
      <c r="Z52" s="49">
        <f aca="true" t="shared" si="28" ref="Z52:AN52">IF(Z39=0,"",Z40/Z39)</f>
      </c>
      <c r="AA52" s="49">
        <f t="shared" si="28"/>
      </c>
      <c r="AB52" s="49">
        <f t="shared" si="28"/>
      </c>
      <c r="AC52" s="49">
        <f t="shared" si="28"/>
      </c>
      <c r="AD52" s="49">
        <f t="shared" si="28"/>
      </c>
      <c r="AE52" s="49">
        <f t="shared" si="28"/>
      </c>
      <c r="AF52" s="49">
        <f t="shared" si="28"/>
      </c>
      <c r="AG52" s="49">
        <f t="shared" si="28"/>
      </c>
      <c r="AH52" s="49">
        <f t="shared" si="28"/>
      </c>
      <c r="AI52" s="49">
        <f t="shared" si="28"/>
      </c>
      <c r="AJ52" s="49">
        <f t="shared" si="28"/>
      </c>
      <c r="AK52" s="49">
        <f t="shared" si="28"/>
      </c>
      <c r="AL52" s="49">
        <f t="shared" si="28"/>
      </c>
      <c r="AM52" s="49">
        <f t="shared" si="28"/>
      </c>
      <c r="AN52" s="49">
        <f t="shared" si="28"/>
      </c>
      <c r="AO52" s="23" t="s">
        <v>68</v>
      </c>
      <c r="AP52" s="53">
        <f>COUNTIF(AO$4:AO$37,"&lt;12,8")-SUM(AP45:AP51)</f>
        <v>0</v>
      </c>
      <c r="AQ52" s="23" t="s">
        <v>68</v>
      </c>
      <c r="AR52" s="53">
        <f>COUNTIF(AQ$4:AQ$37,"&lt;15,2")-SUM(AR45:AR51)</f>
        <v>0</v>
      </c>
      <c r="AS52" s="49">
        <f>IF(AS39=0,"",AS40/AS39)</f>
      </c>
      <c r="AT52" s="49">
        <f>IF(AT39=0,"",AT40/AT39)</f>
      </c>
      <c r="AU52" s="49">
        <f>IF(AU39=0,"",AU40/AU39)</f>
      </c>
      <c r="AV52" s="49">
        <f>IF(AV39=0,"",AV40/AV39)</f>
      </c>
      <c r="AW52" s="23" t="s">
        <v>68</v>
      </c>
      <c r="AX52" s="24">
        <f>COUNTIF(AW$4:AW$37,"&lt;3,2")-SUM(AX45:AX51)</f>
        <v>0</v>
      </c>
      <c r="AY52" s="49">
        <f aca="true" t="shared" si="29" ref="AY52:BF52">IF(AY39=0,"",AY40/AY39)</f>
      </c>
      <c r="AZ52" s="49">
        <f t="shared" si="29"/>
      </c>
      <c r="BA52" s="49">
        <f t="shared" si="29"/>
      </c>
      <c r="BB52" s="49">
        <f t="shared" si="29"/>
      </c>
      <c r="BC52" s="49">
        <f t="shared" si="29"/>
      </c>
      <c r="BD52" s="49">
        <f t="shared" si="29"/>
      </c>
      <c r="BE52" s="49">
        <f t="shared" si="29"/>
      </c>
      <c r="BF52" s="49">
        <f t="shared" si="29"/>
      </c>
      <c r="BG52" s="121" t="s">
        <v>68</v>
      </c>
      <c r="BH52" s="122">
        <f>COUNTIF(BG$4:BG$37,"&lt;6,4")-SUM(BH45:BH51)</f>
        <v>0</v>
      </c>
      <c r="BI52" s="23" t="s">
        <v>68</v>
      </c>
      <c r="BJ52" s="53">
        <f>COUNTIF(BI$4:BI$37,"&lt;9,6")-SUM(BJ45:BJ51)</f>
        <v>0</v>
      </c>
      <c r="BK52" s="49">
        <f>IF(BK39=0,"",BK40/BK39)</f>
      </c>
      <c r="BL52" s="49">
        <f>IF(BL39=0,"",BL40/BL39)</f>
      </c>
      <c r="BM52" s="49">
        <f>IF(BM39=0,"",BM40/BM39)</f>
      </c>
      <c r="BN52" s="49">
        <f>IF(BN39=0,"",BN40/BN39)</f>
      </c>
      <c r="BO52" s="49">
        <f>IF(BO39=0,"",BO40/BO39)</f>
      </c>
      <c r="BP52" s="23" t="s">
        <v>68</v>
      </c>
      <c r="BQ52" s="53">
        <f>COUNTIF(BP$4:BP$37,"&lt;4")-SUM(BQ45:BQ51)</f>
        <v>0</v>
      </c>
      <c r="BR52" s="49">
        <f>IF(BR39=0,"",BR40/BR39)</f>
      </c>
      <c r="BS52" s="49">
        <f>IF(BS39=0,"",BS40/BS39)</f>
      </c>
      <c r="BT52" s="49">
        <f>IF(BT39=0,"",BT40/BT39)</f>
      </c>
      <c r="BU52" s="49">
        <f>IF(BU39=0,"",BU40/BU39)</f>
      </c>
      <c r="BV52" s="49">
        <f>IF(BV39=0,"",BV40/BV39)</f>
      </c>
      <c r="BW52" s="23" t="s">
        <v>68</v>
      </c>
      <c r="BX52" s="53">
        <f>COUNTIF(BW$4:BW$37,"&lt;4")-SUM(BX45:BX51)</f>
        <v>0</v>
      </c>
      <c r="BY52" s="49">
        <f>IF(BY39=0,"",BY40/BY39)</f>
      </c>
      <c r="BZ52" s="49">
        <f>IF(BZ39=0,"",BZ40/BZ39)</f>
      </c>
      <c r="CA52" s="23" t="s">
        <v>68</v>
      </c>
      <c r="CB52" s="53">
        <f>COUNTIF(CA$4:CA$37,"&lt;1,6")-SUM(CB45:CB51)</f>
        <v>0</v>
      </c>
      <c r="CC52" s="49">
        <f>IF(CC39=0,"",CC40/CC39)</f>
      </c>
      <c r="CD52" s="49">
        <f>IF(CD39=0,"",CD40/CD39)</f>
      </c>
      <c r="CE52" s="49">
        <f>IF(CE39=0,"",CE40/CE39)</f>
      </c>
      <c r="CF52" s="49">
        <f>IF(CF39=0,"",CF40/CF39)</f>
      </c>
      <c r="CG52" s="49">
        <f>IF(CG39=0,"",CG40/CG39)</f>
      </c>
      <c r="CH52" s="23" t="s">
        <v>68</v>
      </c>
      <c r="CI52" s="53">
        <f>COUNTIF(CH$4:CH$37,"&lt;4")-SUM(CI45:CI51)</f>
        <v>0</v>
      </c>
      <c r="CJ52" s="49">
        <f aca="true" t="shared" si="30" ref="CJ52:CU52">IF(CJ39=0,"",CJ40/CJ39)</f>
      </c>
      <c r="CK52" s="49">
        <f t="shared" si="30"/>
      </c>
      <c r="CL52" s="49">
        <f t="shared" si="30"/>
      </c>
      <c r="CM52" s="49">
        <f t="shared" si="30"/>
      </c>
      <c r="CN52" s="49">
        <f t="shared" si="30"/>
      </c>
      <c r="CO52" s="49">
        <f t="shared" si="30"/>
      </c>
      <c r="CP52" s="49">
        <f t="shared" si="30"/>
      </c>
      <c r="CQ52" s="49">
        <f t="shared" si="30"/>
      </c>
      <c r="CR52" s="49">
        <f t="shared" si="30"/>
      </c>
      <c r="CS52" s="49">
        <f t="shared" si="30"/>
      </c>
      <c r="CT52" s="49">
        <f t="shared" si="30"/>
      </c>
      <c r="CU52" s="49">
        <f t="shared" si="30"/>
      </c>
      <c r="CV52" s="23" t="s">
        <v>68</v>
      </c>
      <c r="CW52" s="24">
        <f>COUNTIF(CV$4:CV$37,"&lt;9,6")-SUM(CW45:CW51)</f>
        <v>0</v>
      </c>
      <c r="CX52" s="49">
        <f>IF(CX39=0,"",CX40/CX39)</f>
      </c>
      <c r="CY52" s="49">
        <f aca="true" t="shared" si="31" ref="CY52:DD52">IF(CY39=0,"",CY40/CY39)</f>
      </c>
      <c r="CZ52" s="49">
        <f t="shared" si="31"/>
      </c>
      <c r="DA52" s="49">
        <f t="shared" si="31"/>
      </c>
      <c r="DB52" s="49">
        <f t="shared" si="31"/>
      </c>
      <c r="DC52" s="49">
        <f t="shared" si="31"/>
      </c>
      <c r="DD52" s="49">
        <f t="shared" si="31"/>
      </c>
      <c r="DE52" s="23" t="s">
        <v>68</v>
      </c>
      <c r="DF52" s="24">
        <f>COUNTIF(DE$4:DE$37,"&lt;5,6")-SUM(DF45:DF51)</f>
        <v>0</v>
      </c>
      <c r="DG52" s="49">
        <f aca="true" t="shared" si="32" ref="DG52:DT52">IF(DG39=0,"",DG40/DG39)</f>
      </c>
      <c r="DH52" s="49">
        <f t="shared" si="32"/>
      </c>
      <c r="DI52" s="49">
        <f t="shared" si="32"/>
      </c>
      <c r="DJ52" s="49">
        <f t="shared" si="32"/>
      </c>
      <c r="DK52" s="49">
        <f t="shared" si="32"/>
      </c>
      <c r="DL52" s="49">
        <f t="shared" si="32"/>
      </c>
      <c r="DM52" s="49">
        <f t="shared" si="32"/>
      </c>
      <c r="DN52" s="49">
        <f t="shared" si="32"/>
      </c>
      <c r="DO52" s="49">
        <f t="shared" si="32"/>
      </c>
      <c r="DP52" s="49">
        <f t="shared" si="32"/>
      </c>
      <c r="DQ52" s="49">
        <f t="shared" si="32"/>
      </c>
      <c r="DR52" s="49">
        <f t="shared" si="32"/>
      </c>
      <c r="DS52" s="49">
        <f t="shared" si="32"/>
      </c>
      <c r="DT52" s="49">
        <f t="shared" si="32"/>
      </c>
      <c r="DU52" s="23" t="s">
        <v>68</v>
      </c>
      <c r="DV52" s="53">
        <f>COUNTIF(DU$4:DU$37,"&lt;9,6")-SUM(DV45:DV51)</f>
        <v>0</v>
      </c>
    </row>
    <row r="53" spans="1:126" s="200" customFormat="1" ht="12.75">
      <c r="A53" s="256"/>
      <c r="C53" s="256"/>
      <c r="E53" s="3" t="s">
        <v>69</v>
      </c>
      <c r="F53" s="1">
        <f>COUNTIF(E$4:E$37,"&lt;72,9")-SUM(F45:F52)</f>
        <v>0</v>
      </c>
      <c r="G53" s="1"/>
      <c r="H53" s="1"/>
      <c r="I53" s="2"/>
      <c r="J53" s="3" t="s">
        <v>69</v>
      </c>
      <c r="K53" s="1">
        <f>COUNTIF(J$4:J$37,"&lt;27,9")-SUM(K45:K52)</f>
        <v>0</v>
      </c>
      <c r="L53" s="3" t="s">
        <v>69</v>
      </c>
      <c r="M53" s="1">
        <f>COUNTIF(L$4:L$37,"&lt;15,3")-SUM(M45:M52)</f>
        <v>0</v>
      </c>
      <c r="N53" s="3" t="s">
        <v>69</v>
      </c>
      <c r="O53" s="1">
        <f>COUNTIF(N$4:N$37,"&lt;17,1")-SUM(O45:O52)</f>
        <v>0</v>
      </c>
      <c r="P53" s="3" t="s">
        <v>69</v>
      </c>
      <c r="Q53" s="1">
        <f>COUNTIF(P$4:P$37,"&lt;12,6")-SUM(Q45:Q52)</f>
        <v>0</v>
      </c>
      <c r="R53" s="257"/>
      <c r="S53" s="293" t="s">
        <v>129</v>
      </c>
      <c r="T53" s="320">
        <v>0.42</v>
      </c>
      <c r="U53" s="320">
        <v>0.53</v>
      </c>
      <c r="V53" s="320">
        <v>0.46</v>
      </c>
      <c r="W53" s="200" t="s">
        <v>69</v>
      </c>
      <c r="X53" s="258">
        <f>COUNTIF(W$4:W$37,"&lt;2,7")-SUM(X45:X52)</f>
        <v>0</v>
      </c>
      <c r="Y53" s="320">
        <v>0.68</v>
      </c>
      <c r="Z53" s="320">
        <v>0.68</v>
      </c>
      <c r="AA53" s="320">
        <v>0.74</v>
      </c>
      <c r="AB53" s="320">
        <v>0.76</v>
      </c>
      <c r="AC53" s="320">
        <v>0.37</v>
      </c>
      <c r="AD53" s="320">
        <v>0.69</v>
      </c>
      <c r="AE53" s="320">
        <v>0.67</v>
      </c>
      <c r="AF53" s="320">
        <v>0.5</v>
      </c>
      <c r="AG53" s="320">
        <v>0.49</v>
      </c>
      <c r="AH53" s="320">
        <v>0.35</v>
      </c>
      <c r="AI53" s="320">
        <v>0.78</v>
      </c>
      <c r="AJ53" s="320">
        <v>0.35</v>
      </c>
      <c r="AK53" s="320">
        <v>0.35</v>
      </c>
      <c r="AL53" s="320">
        <v>0.71</v>
      </c>
      <c r="AM53" s="320">
        <v>0.35</v>
      </c>
      <c r="AN53" s="320">
        <v>0.34</v>
      </c>
      <c r="AO53" s="200" t="s">
        <v>69</v>
      </c>
      <c r="AP53" s="258">
        <f>COUNTIF(AO$4:AO$37,"&lt;14,4")-SUM(AP45:AP52)</f>
        <v>0</v>
      </c>
      <c r="AQ53" s="200" t="s">
        <v>69</v>
      </c>
      <c r="AR53" s="258">
        <f>COUNTIF(AQ$4:AQ$37,"&lt;17,1")-SUM(AR45:AR52)</f>
        <v>0</v>
      </c>
      <c r="AS53" s="320">
        <v>0.44</v>
      </c>
      <c r="AT53" s="320">
        <v>0.73</v>
      </c>
      <c r="AU53" s="320">
        <v>0.35</v>
      </c>
      <c r="AV53" s="320">
        <v>0.74</v>
      </c>
      <c r="AW53" s="200" t="s">
        <v>69</v>
      </c>
      <c r="AX53" s="258">
        <f>COUNTIF(AW$4:AW$37,"&lt;3,6")-SUM(AX45:AX52)</f>
        <v>0</v>
      </c>
      <c r="AY53" s="320">
        <v>0.52</v>
      </c>
      <c r="AZ53" s="320">
        <v>0.44</v>
      </c>
      <c r="BA53" s="320">
        <v>0.63</v>
      </c>
      <c r="BB53" s="320">
        <v>0.74</v>
      </c>
      <c r="BC53" s="320">
        <v>0.8</v>
      </c>
      <c r="BD53" s="320">
        <v>0.79</v>
      </c>
      <c r="BE53" s="320">
        <v>0.41</v>
      </c>
      <c r="BF53" s="320">
        <v>0.68</v>
      </c>
      <c r="BG53" s="259" t="s">
        <v>69</v>
      </c>
      <c r="BH53" s="260">
        <f>COUNTIF(BG$4:BG$37,"&lt;7,2")-SUM(BH45:BH52)</f>
        <v>0</v>
      </c>
      <c r="BI53" s="200" t="s">
        <v>69</v>
      </c>
      <c r="BJ53" s="261">
        <f>COUNTIF(BI$4:BI$37,"&lt;10,8")-SUM(BJ45:BJ52)</f>
        <v>0</v>
      </c>
      <c r="BK53" s="320">
        <v>0.82</v>
      </c>
      <c r="BL53" s="320">
        <v>0.84</v>
      </c>
      <c r="BM53" s="320">
        <v>0.87</v>
      </c>
      <c r="BN53" s="320">
        <v>0.87</v>
      </c>
      <c r="BO53" s="321"/>
      <c r="BP53" s="200" t="s">
        <v>69</v>
      </c>
      <c r="BQ53" s="258">
        <f>COUNTIF(BP$4:BP$37,"&lt;4,5")-SUM(BQ45:BQ52)</f>
        <v>0</v>
      </c>
      <c r="BR53" s="320">
        <v>0.22</v>
      </c>
      <c r="BS53" s="320">
        <v>0.26</v>
      </c>
      <c r="BT53" s="320">
        <v>0.53</v>
      </c>
      <c r="BU53" s="320">
        <v>0.29</v>
      </c>
      <c r="BV53" s="320">
        <v>0.55</v>
      </c>
      <c r="BW53" s="200" t="s">
        <v>69</v>
      </c>
      <c r="BX53" s="258">
        <f>COUNTIF(BW$4:BW$37,"&lt;4,5")-SUM(BX45:BX52)</f>
        <v>0</v>
      </c>
      <c r="BY53" s="320">
        <v>0.51</v>
      </c>
      <c r="BZ53" s="320">
        <v>0.25</v>
      </c>
      <c r="CA53" s="200" t="s">
        <v>69</v>
      </c>
      <c r="CB53" s="258">
        <f>COUNTIF(CA$4:CA$37,"&lt;1,8")-SUM(CB45:CB52)</f>
        <v>0</v>
      </c>
      <c r="CC53" s="320">
        <v>0.63</v>
      </c>
      <c r="CD53" s="320">
        <v>0.64</v>
      </c>
      <c r="CE53" s="320">
        <v>0.69</v>
      </c>
      <c r="CF53" s="320">
        <v>0.37</v>
      </c>
      <c r="CG53" s="320">
        <v>0.33</v>
      </c>
      <c r="CH53" s="200" t="s">
        <v>69</v>
      </c>
      <c r="CI53" s="258">
        <f>COUNTIF(CH$4:CH$37,"&lt;4,5")-SUM(CI45:CI52)</f>
        <v>0</v>
      </c>
      <c r="CJ53" s="320">
        <v>0.31</v>
      </c>
      <c r="CK53" s="320">
        <v>0.58</v>
      </c>
      <c r="CL53" s="320">
        <v>0.52</v>
      </c>
      <c r="CM53" s="320">
        <v>0.77</v>
      </c>
      <c r="CN53" s="320">
        <v>0.61</v>
      </c>
      <c r="CO53" s="320">
        <v>0.48</v>
      </c>
      <c r="CP53" s="320">
        <v>0.36</v>
      </c>
      <c r="CQ53" s="320">
        <v>0.31</v>
      </c>
      <c r="CR53" s="320">
        <v>0.34</v>
      </c>
      <c r="CS53" s="320">
        <v>0.17</v>
      </c>
      <c r="CT53" s="320">
        <v>0.22</v>
      </c>
      <c r="CU53" s="320">
        <v>0.64</v>
      </c>
      <c r="CV53" s="200" t="s">
        <v>69</v>
      </c>
      <c r="CW53" s="258">
        <f>COUNTIF(CV$4:CV$37,"&lt;10,8")-SUM(CW45:CW52)</f>
        <v>0</v>
      </c>
      <c r="CX53" s="320">
        <v>0.72</v>
      </c>
      <c r="CY53" s="320">
        <v>0.68</v>
      </c>
      <c r="CZ53" s="320">
        <v>0.3</v>
      </c>
      <c r="DA53" s="320">
        <v>0.65</v>
      </c>
      <c r="DB53" s="320">
        <v>0.46</v>
      </c>
      <c r="DC53" s="320">
        <v>0.45</v>
      </c>
      <c r="DD53" s="320">
        <v>0.24</v>
      </c>
      <c r="DE53" s="200" t="s">
        <v>69</v>
      </c>
      <c r="DF53" s="258">
        <f>COUNTIF(DE$4:DE$37,"&lt;6,3")-SUM(DF45:DF52)</f>
        <v>0</v>
      </c>
      <c r="DG53" s="320">
        <v>0.67</v>
      </c>
      <c r="DH53" s="320">
        <v>0.67</v>
      </c>
      <c r="DI53" s="320">
        <v>0.67</v>
      </c>
      <c r="DJ53" s="320">
        <v>0.67</v>
      </c>
      <c r="DK53" s="320">
        <v>0.34</v>
      </c>
      <c r="DL53" s="320">
        <v>0.92</v>
      </c>
      <c r="DM53" s="320">
        <v>0.76</v>
      </c>
      <c r="DN53" s="320">
        <v>0.61</v>
      </c>
      <c r="DO53" s="320">
        <v>0.87</v>
      </c>
      <c r="DP53" s="320">
        <v>0.93</v>
      </c>
      <c r="DQ53" s="320">
        <v>0.89</v>
      </c>
      <c r="DR53" s="320">
        <v>0.36</v>
      </c>
      <c r="DS53" s="320">
        <v>0.54</v>
      </c>
      <c r="DT53" s="320">
        <v>0.7</v>
      </c>
      <c r="DU53" s="200" t="s">
        <v>69</v>
      </c>
      <c r="DV53" s="258">
        <f>COUNTIF(DU$4:DU$37,"&lt;10,8")-SUM(DV45:DV52)</f>
        <v>0</v>
      </c>
    </row>
    <row r="54" spans="1:126" ht="13.5" thickBot="1">
      <c r="A54" s="118"/>
      <c r="B54" s="118"/>
      <c r="C54" s="118"/>
      <c r="D54" s="118"/>
      <c r="E54" s="3" t="s">
        <v>70</v>
      </c>
      <c r="F54" s="1">
        <f>COUNTIF(E$4:E$37,"&lt;=81")-SUM(F45:F53)</f>
        <v>0</v>
      </c>
      <c r="G54" s="1"/>
      <c r="H54" s="1"/>
      <c r="I54" s="2"/>
      <c r="J54" s="3" t="s">
        <v>70</v>
      </c>
      <c r="K54" s="1">
        <f>COUNTIF(J$4:J$37,"&lt;=31")-SUM(K45:K53)</f>
        <v>0</v>
      </c>
      <c r="L54" s="3" t="s">
        <v>70</v>
      </c>
      <c r="M54" s="1">
        <f>COUNTIF(L$4:L$37,"&lt;=17")-SUM(M45:M53)</f>
        <v>0</v>
      </c>
      <c r="N54" s="3" t="s">
        <v>70</v>
      </c>
      <c r="O54" s="1">
        <f>COUNTIF(N$4:N$37,"&lt;=19")-SUM(O45:O53)</f>
        <v>0</v>
      </c>
      <c r="P54" s="3" t="s">
        <v>70</v>
      </c>
      <c r="Q54" s="1">
        <f>COUNTIF(P$4:P$37,"&lt;=14")-SUM(Q45:Q53)</f>
        <v>0</v>
      </c>
      <c r="R54" s="184"/>
      <c r="S54" s="244"/>
      <c r="T54" s="193"/>
      <c r="W54" s="23" t="s">
        <v>70</v>
      </c>
      <c r="X54" s="53">
        <f>COUNTIF(W$4:W$37,"&lt;=3")-SUM(X45:X53)</f>
        <v>0</v>
      </c>
      <c r="AO54" s="23" t="s">
        <v>70</v>
      </c>
      <c r="AP54" s="53">
        <f>COUNTIF(AO$4:AO$37,"&lt;=16")-SUM(AP45:AP53)</f>
        <v>0</v>
      </c>
      <c r="AQ54" s="23" t="s">
        <v>70</v>
      </c>
      <c r="AR54" s="53">
        <f>COUNTIF(AQ$4:AQ$37,"&lt;=19")-SUM(AR45:AR53)</f>
        <v>0</v>
      </c>
      <c r="AT54" s="50"/>
      <c r="AU54" s="50"/>
      <c r="AV54" s="50"/>
      <c r="AW54" s="23" t="s">
        <v>70</v>
      </c>
      <c r="AX54" s="24">
        <f>COUNTIF(AW$4:AW$37,"&lt;=4")-SUM(AX45:AX53)</f>
        <v>0</v>
      </c>
      <c r="AY54" s="123"/>
      <c r="AZ54" s="50"/>
      <c r="BA54" s="50"/>
      <c r="BB54" s="50"/>
      <c r="BC54" s="50"/>
      <c r="BD54" s="50"/>
      <c r="BE54" s="50"/>
      <c r="BF54" s="50"/>
      <c r="BG54" s="121" t="s">
        <v>70</v>
      </c>
      <c r="BH54" s="122">
        <f>COUNTIF(BG$4:BG$37,"&lt;=8")-SUM(BH45:BH53)</f>
        <v>0</v>
      </c>
      <c r="BI54" s="23" t="s">
        <v>70</v>
      </c>
      <c r="BJ54" s="24">
        <f>COUNTIF(BI$4:BI$37,"&lt;=12")-SUM(BJ45:BJ53)</f>
        <v>0</v>
      </c>
      <c r="BP54" s="23" t="s">
        <v>70</v>
      </c>
      <c r="BQ54" s="53">
        <f>COUNTIF(BP$4:BP$37,"&lt;=5")-SUM(BQ45:BQ53)</f>
        <v>0</v>
      </c>
      <c r="BR54" s="50"/>
      <c r="BS54" s="50"/>
      <c r="BT54" s="50"/>
      <c r="BU54" s="50"/>
      <c r="BV54" s="50"/>
      <c r="BW54" s="23" t="s">
        <v>70</v>
      </c>
      <c r="BX54" s="53">
        <f>COUNTIF(BW$4:BW$37,"&lt;=5")-SUM(BX45:BX53)</f>
        <v>0</v>
      </c>
      <c r="BY54" s="50"/>
      <c r="BZ54" s="50"/>
      <c r="CA54" s="23" t="s">
        <v>70</v>
      </c>
      <c r="CB54" s="53">
        <f>COUNTIF(CA$4:CA$37,"&lt;=2")-SUM(CB45:CB53)</f>
        <v>0</v>
      </c>
      <c r="CC54" s="50"/>
      <c r="CD54" s="50"/>
      <c r="CE54" s="50"/>
      <c r="CF54" s="50"/>
      <c r="CG54" s="50"/>
      <c r="CH54" s="23" t="s">
        <v>70</v>
      </c>
      <c r="CI54" s="53">
        <f>COUNTIF(CH$4:CH$37,"&lt;=5")-SUM(CI45:CI53)</f>
        <v>0</v>
      </c>
      <c r="CV54" s="23" t="s">
        <v>70</v>
      </c>
      <c r="CW54" s="24">
        <f>COUNTIF(CV$4:CV$37,"&lt;=12")-SUM(CW45:CW53)</f>
        <v>0</v>
      </c>
      <c r="DE54" s="23" t="s">
        <v>70</v>
      </c>
      <c r="DF54" s="24">
        <f>COUNTIF(DE$4:DE$37,"&lt;=7")-SUM(DF45:DF53)</f>
        <v>0</v>
      </c>
      <c r="DU54" s="23" t="s">
        <v>70</v>
      </c>
      <c r="DV54" s="63">
        <f>COUNTIF(DU$4:DU$37,"&lt;=12")-SUM(DV45:DV53)</f>
        <v>0</v>
      </c>
    </row>
    <row r="55" spans="9:58" ht="12.75">
      <c r="I55" s="2"/>
      <c r="N55" s="36"/>
      <c r="P55" s="36"/>
      <c r="X55" s="118"/>
      <c r="Y55" s="51"/>
      <c r="AP55" s="118"/>
      <c r="AQ55" s="118"/>
      <c r="AR55" s="118"/>
      <c r="AT55" s="51"/>
      <c r="AU55" s="51"/>
      <c r="AV55" s="51"/>
      <c r="AZ55" s="51"/>
      <c r="BA55" s="51"/>
      <c r="BB55" s="51"/>
      <c r="BC55" s="51"/>
      <c r="BD55" s="51"/>
      <c r="BE55" s="51"/>
      <c r="BF55" s="51"/>
    </row>
    <row r="56" ht="12.75">
      <c r="I56" s="2"/>
    </row>
    <row r="57" ht="12.75">
      <c r="I57" s="2"/>
    </row>
  </sheetData>
  <sheetProtection sheet="1" objects="1" scenarios="1"/>
  <mergeCells count="339">
    <mergeCell ref="A4:B4"/>
    <mergeCell ref="BR1:BX1"/>
    <mergeCell ref="BY1:CB1"/>
    <mergeCell ref="CC1:CI1"/>
    <mergeCell ref="T1:X1"/>
    <mergeCell ref="AS1:AX1"/>
    <mergeCell ref="AQ1:AR2"/>
    <mergeCell ref="AW2:AX3"/>
    <mergeCell ref="AY1:BH1"/>
    <mergeCell ref="Y1:AP1"/>
    <mergeCell ref="BW2:BX2"/>
    <mergeCell ref="CH2:CI3"/>
    <mergeCell ref="CJ1:CW1"/>
    <mergeCell ref="CX1:DF1"/>
    <mergeCell ref="CV2:CW3"/>
    <mergeCell ref="W5:X5"/>
    <mergeCell ref="W6:X6"/>
    <mergeCell ref="W7:X7"/>
    <mergeCell ref="W8:X8"/>
    <mergeCell ref="W9:X9"/>
    <mergeCell ref="W10:X10"/>
    <mergeCell ref="W11:X11"/>
    <mergeCell ref="W12:X12"/>
    <mergeCell ref="W13:X13"/>
    <mergeCell ref="W14:X14"/>
    <mergeCell ref="W15:X15"/>
    <mergeCell ref="W16:X16"/>
    <mergeCell ref="W23:X23"/>
    <mergeCell ref="W24:X24"/>
    <mergeCell ref="W17:X17"/>
    <mergeCell ref="W18:X18"/>
    <mergeCell ref="W19:X19"/>
    <mergeCell ref="W20:X20"/>
    <mergeCell ref="W34:X34"/>
    <mergeCell ref="W35:X35"/>
    <mergeCell ref="W36:X36"/>
    <mergeCell ref="W29:X29"/>
    <mergeCell ref="W30:X30"/>
    <mergeCell ref="W31:X31"/>
    <mergeCell ref="W32:X32"/>
    <mergeCell ref="AO10:AP10"/>
    <mergeCell ref="AO11:AP11"/>
    <mergeCell ref="AO12:AP12"/>
    <mergeCell ref="W33:X33"/>
    <mergeCell ref="W25:X25"/>
    <mergeCell ref="W26:X26"/>
    <mergeCell ref="W27:X27"/>
    <mergeCell ref="W28:X28"/>
    <mergeCell ref="W21:X21"/>
    <mergeCell ref="W22:X22"/>
    <mergeCell ref="DU2:DV3"/>
    <mergeCell ref="BI1:BJ2"/>
    <mergeCell ref="W4:X4"/>
    <mergeCell ref="W37:X37"/>
    <mergeCell ref="DG1:DV1"/>
    <mergeCell ref="AO5:AP5"/>
    <mergeCell ref="AO6:AP6"/>
    <mergeCell ref="AO7:AP7"/>
    <mergeCell ref="AO8:AP8"/>
    <mergeCell ref="AO9:AP9"/>
    <mergeCell ref="W2:X3"/>
    <mergeCell ref="AO2:AP3"/>
    <mergeCell ref="AO4:AP4"/>
    <mergeCell ref="BP2:BQ3"/>
    <mergeCell ref="BG2:BH2"/>
    <mergeCell ref="AO13:AP13"/>
    <mergeCell ref="AO14:AP14"/>
    <mergeCell ref="AO15:AP15"/>
    <mergeCell ref="AO16:AP16"/>
    <mergeCell ref="AO17:AP17"/>
    <mergeCell ref="AO18:AP18"/>
    <mergeCell ref="AO19:AP19"/>
    <mergeCell ref="AO20:AP20"/>
    <mergeCell ref="AO21:AP21"/>
    <mergeCell ref="AO22:AP22"/>
    <mergeCell ref="AO23:AP23"/>
    <mergeCell ref="AO24:AP24"/>
    <mergeCell ref="AO25:AP25"/>
    <mergeCell ref="AO26:AP26"/>
    <mergeCell ref="AO27:AP27"/>
    <mergeCell ref="AO28:AP28"/>
    <mergeCell ref="AO29:AP29"/>
    <mergeCell ref="AO30:AP30"/>
    <mergeCell ref="AO31:AP31"/>
    <mergeCell ref="AO32:AP32"/>
    <mergeCell ref="AO33:AP33"/>
    <mergeCell ref="AO34:AP34"/>
    <mergeCell ref="AO35:AP35"/>
    <mergeCell ref="AO36:AP36"/>
    <mergeCell ref="AO37:AP37"/>
    <mergeCell ref="AW4:AX4"/>
    <mergeCell ref="AW5:AX5"/>
    <mergeCell ref="AW6:AX6"/>
    <mergeCell ref="AW7:AX7"/>
    <mergeCell ref="AW8:AX8"/>
    <mergeCell ref="AW9:AX9"/>
    <mergeCell ref="AW10:AX10"/>
    <mergeCell ref="AW11:AX11"/>
    <mergeCell ref="AW12:AX12"/>
    <mergeCell ref="AW13:AX13"/>
    <mergeCell ref="AW14:AX14"/>
    <mergeCell ref="AW15:AX15"/>
    <mergeCell ref="AW16:AX16"/>
    <mergeCell ref="AW17:AX17"/>
    <mergeCell ref="AW18:AX18"/>
    <mergeCell ref="AW19:AX19"/>
    <mergeCell ref="AW20:AX20"/>
    <mergeCell ref="AW21:AX21"/>
    <mergeCell ref="AW22:AX22"/>
    <mergeCell ref="AW23:AX23"/>
    <mergeCell ref="AW24:AX24"/>
    <mergeCell ref="AW25:AX25"/>
    <mergeCell ref="AW26:AX26"/>
    <mergeCell ref="AW27:AX27"/>
    <mergeCell ref="AW28:AX28"/>
    <mergeCell ref="AW29:AX29"/>
    <mergeCell ref="AW30:AX30"/>
    <mergeCell ref="AW31:AX31"/>
    <mergeCell ref="AW32:AX32"/>
    <mergeCell ref="AW33:AX33"/>
    <mergeCell ref="AW34:AX34"/>
    <mergeCell ref="AW35:AX35"/>
    <mergeCell ref="AW36:AX36"/>
    <mergeCell ref="AW37:AX37"/>
    <mergeCell ref="BP12:BQ12"/>
    <mergeCell ref="BP13:BQ13"/>
    <mergeCell ref="BP14:BQ14"/>
    <mergeCell ref="BP15:BQ15"/>
    <mergeCell ref="BP16:BQ16"/>
    <mergeCell ref="BP17:BQ17"/>
    <mergeCell ref="BP18:BQ18"/>
    <mergeCell ref="BP19:BQ19"/>
    <mergeCell ref="BP20:BQ20"/>
    <mergeCell ref="BP21:BQ21"/>
    <mergeCell ref="BP22:BQ22"/>
    <mergeCell ref="BP23:BQ23"/>
    <mergeCell ref="BP31:BQ31"/>
    <mergeCell ref="BP24:BQ24"/>
    <mergeCell ref="BP25:BQ25"/>
    <mergeCell ref="BP26:BQ26"/>
    <mergeCell ref="BP27:BQ27"/>
    <mergeCell ref="BP36:BQ36"/>
    <mergeCell ref="BP37:BQ37"/>
    <mergeCell ref="CA12:CB12"/>
    <mergeCell ref="BP32:BQ32"/>
    <mergeCell ref="BP33:BQ33"/>
    <mergeCell ref="BP34:BQ34"/>
    <mergeCell ref="BP35:BQ35"/>
    <mergeCell ref="BP28:BQ28"/>
    <mergeCell ref="BP29:BQ29"/>
    <mergeCell ref="BP30:BQ30"/>
    <mergeCell ref="CV4:CW4"/>
    <mergeCell ref="CV5:CW5"/>
    <mergeCell ref="CV6:CW6"/>
    <mergeCell ref="CV11:CW11"/>
    <mergeCell ref="CV7:CW7"/>
    <mergeCell ref="CV8:CW8"/>
    <mergeCell ref="CV9:CW9"/>
    <mergeCell ref="CV10:CW10"/>
    <mergeCell ref="CV12:CW12"/>
    <mergeCell ref="CV13:CW13"/>
    <mergeCell ref="CV14:CW14"/>
    <mergeCell ref="CV15:CW15"/>
    <mergeCell ref="CV16:CW16"/>
    <mergeCell ref="CV17:CW17"/>
    <mergeCell ref="CV18:CW18"/>
    <mergeCell ref="CV19:CW19"/>
    <mergeCell ref="CV20:CW20"/>
    <mergeCell ref="CV21:CW21"/>
    <mergeCell ref="CV22:CW22"/>
    <mergeCell ref="CV23:CW23"/>
    <mergeCell ref="CV24:CW24"/>
    <mergeCell ref="CV25:CW25"/>
    <mergeCell ref="CV26:CW26"/>
    <mergeCell ref="CV27:CW27"/>
    <mergeCell ref="CV28:CW28"/>
    <mergeCell ref="CV29:CW29"/>
    <mergeCell ref="CV30:CW30"/>
    <mergeCell ref="CV31:CW31"/>
    <mergeCell ref="CV32:CW32"/>
    <mergeCell ref="CV33:CW33"/>
    <mergeCell ref="CV34:CW34"/>
    <mergeCell ref="CV35:CW35"/>
    <mergeCell ref="CV36:CW36"/>
    <mergeCell ref="CV37:CW37"/>
    <mergeCell ref="DE2:DF3"/>
    <mergeCell ref="DE4:DF4"/>
    <mergeCell ref="DE5:DF5"/>
    <mergeCell ref="DE6:DF6"/>
    <mergeCell ref="DE7:DF7"/>
    <mergeCell ref="DE8:DF8"/>
    <mergeCell ref="DE9:DF9"/>
    <mergeCell ref="DE10:DF10"/>
    <mergeCell ref="DE11:DF11"/>
    <mergeCell ref="DE12:DF12"/>
    <mergeCell ref="DE13:DF13"/>
    <mergeCell ref="DE14:DF14"/>
    <mergeCell ref="DE15:DF15"/>
    <mergeCell ref="DE16:DF16"/>
    <mergeCell ref="DE17:DF17"/>
    <mergeCell ref="DE24:DF24"/>
    <mergeCell ref="DE18:DF18"/>
    <mergeCell ref="DE19:DF19"/>
    <mergeCell ref="DE20:DF20"/>
    <mergeCell ref="DE21:DF21"/>
    <mergeCell ref="DE22:DF22"/>
    <mergeCell ref="DE23:DF23"/>
    <mergeCell ref="DE37:DF37"/>
    <mergeCell ref="DE31:DF31"/>
    <mergeCell ref="DE32:DF32"/>
    <mergeCell ref="DE33:DF33"/>
    <mergeCell ref="DE34:DF34"/>
    <mergeCell ref="DE25:DF25"/>
    <mergeCell ref="DE26:DF26"/>
    <mergeCell ref="DE27:DF27"/>
    <mergeCell ref="DE28:DF28"/>
    <mergeCell ref="DE29:DF29"/>
    <mergeCell ref="DU36:DV36"/>
    <mergeCell ref="DU37:DV37"/>
    <mergeCell ref="DE30:DF30"/>
    <mergeCell ref="DE35:DF35"/>
    <mergeCell ref="DE36:DF36"/>
    <mergeCell ref="DU32:DV32"/>
    <mergeCell ref="DU33:DV33"/>
    <mergeCell ref="DU34:DV34"/>
    <mergeCell ref="DU35:DV35"/>
    <mergeCell ref="DU28:DV28"/>
    <mergeCell ref="DU29:DV29"/>
    <mergeCell ref="DU30:DV30"/>
    <mergeCell ref="DU31:DV31"/>
    <mergeCell ref="DU24:DV24"/>
    <mergeCell ref="DU25:DV25"/>
    <mergeCell ref="DU26:DV26"/>
    <mergeCell ref="DU27:DV27"/>
    <mergeCell ref="DU20:DV20"/>
    <mergeCell ref="DU21:DV21"/>
    <mergeCell ref="DU22:DV22"/>
    <mergeCell ref="DU23:DV23"/>
    <mergeCell ref="DU16:DV16"/>
    <mergeCell ref="DU17:DV17"/>
    <mergeCell ref="DU18:DV18"/>
    <mergeCell ref="DU19:DV19"/>
    <mergeCell ref="DU12:DV12"/>
    <mergeCell ref="DU13:DV13"/>
    <mergeCell ref="DU14:DV14"/>
    <mergeCell ref="DU15:DV15"/>
    <mergeCell ref="CA8:CB8"/>
    <mergeCell ref="CA9:CB9"/>
    <mergeCell ref="CA10:CB10"/>
    <mergeCell ref="CA11:CB11"/>
    <mergeCell ref="CA4:CB4"/>
    <mergeCell ref="CA5:CB5"/>
    <mergeCell ref="CA6:CB6"/>
    <mergeCell ref="CA7:CB7"/>
    <mergeCell ref="CA13:CB13"/>
    <mergeCell ref="CA14:CB14"/>
    <mergeCell ref="CA15:CB15"/>
    <mergeCell ref="CA16:CB16"/>
    <mergeCell ref="CA17:CB17"/>
    <mergeCell ref="CA18:CB18"/>
    <mergeCell ref="CA19:CB19"/>
    <mergeCell ref="CA20:CB20"/>
    <mergeCell ref="CA21:CB21"/>
    <mergeCell ref="CA22:CB22"/>
    <mergeCell ref="CA23:CB23"/>
    <mergeCell ref="CA24:CB24"/>
    <mergeCell ref="CA30:CB30"/>
    <mergeCell ref="CA31:CB31"/>
    <mergeCell ref="CA32:CB32"/>
    <mergeCell ref="CA25:CB25"/>
    <mergeCell ref="CA26:CB26"/>
    <mergeCell ref="CA27:CB27"/>
    <mergeCell ref="CA28:CB28"/>
    <mergeCell ref="CA37:CB37"/>
    <mergeCell ref="BK1:BQ1"/>
    <mergeCell ref="CA2:CB3"/>
    <mergeCell ref="CA33:CB33"/>
    <mergeCell ref="CA34:CB34"/>
    <mergeCell ref="CA35:CB35"/>
    <mergeCell ref="CA36:CB36"/>
    <mergeCell ref="BP8:BQ8"/>
    <mergeCell ref="BP9:BQ9"/>
    <mergeCell ref="CA29:CB29"/>
    <mergeCell ref="BP10:BQ10"/>
    <mergeCell ref="BP11:BQ11"/>
    <mergeCell ref="BP4:BQ4"/>
    <mergeCell ref="BP5:BQ5"/>
    <mergeCell ref="BP6:BQ6"/>
    <mergeCell ref="BP7:BQ7"/>
    <mergeCell ref="P1:Q2"/>
    <mergeCell ref="S1:S37"/>
    <mergeCell ref="D1:D37"/>
    <mergeCell ref="E1:F2"/>
    <mergeCell ref="J1:K2"/>
    <mergeCell ref="L1:M2"/>
    <mergeCell ref="N1:O2"/>
    <mergeCell ref="H1:H3"/>
    <mergeCell ref="CH4:CI4"/>
    <mergeCell ref="CH5:CI5"/>
    <mergeCell ref="CH6:CI6"/>
    <mergeCell ref="CH7:CI7"/>
    <mergeCell ref="CH8:CI8"/>
    <mergeCell ref="CH9:CI9"/>
    <mergeCell ref="CH10:CI10"/>
    <mergeCell ref="CH11:CI11"/>
    <mergeCell ref="CH12:CI12"/>
    <mergeCell ref="CH13:CI13"/>
    <mergeCell ref="CH14:CI14"/>
    <mergeCell ref="CH15:CI15"/>
    <mergeCell ref="CH16:CI16"/>
    <mergeCell ref="CH17:CI17"/>
    <mergeCell ref="CH18:CI18"/>
    <mergeCell ref="CH19:CI19"/>
    <mergeCell ref="CH20:CI20"/>
    <mergeCell ref="CH21:CI21"/>
    <mergeCell ref="CH22:CI22"/>
    <mergeCell ref="CH23:CI23"/>
    <mergeCell ref="CH24:CI24"/>
    <mergeCell ref="CH25:CI25"/>
    <mergeCell ref="CH26:CI26"/>
    <mergeCell ref="CH27:CI27"/>
    <mergeCell ref="CH28:CI28"/>
    <mergeCell ref="CH29:CI29"/>
    <mergeCell ref="CH30:CI30"/>
    <mergeCell ref="CH31:CI31"/>
    <mergeCell ref="CH32:CI32"/>
    <mergeCell ref="CH33:CI33"/>
    <mergeCell ref="CH34:CI34"/>
    <mergeCell ref="CH35:CI35"/>
    <mergeCell ref="CH36:CI36"/>
    <mergeCell ref="CH37:CI37"/>
    <mergeCell ref="DU4:DV4"/>
    <mergeCell ref="DU5:DV5"/>
    <mergeCell ref="DU6:DV6"/>
    <mergeCell ref="DU7:DV7"/>
    <mergeCell ref="DU8:DV8"/>
    <mergeCell ref="DU9:DV9"/>
    <mergeCell ref="DU10:DV10"/>
    <mergeCell ref="DU11:DV11"/>
  </mergeCells>
  <conditionalFormatting sqref="CJ52:CU52 CC52:CG52 T52:V52 AS52:AV52 BK52:BO52 BY52:BZ52 BR52:BV52 CX52:DD52 AY52:BF52 Y52:AN52 DG52:DT52 T53">
    <cfRule type="cellIs" priority="1" dxfId="0" operator="lessThan" stopIfTrue="1">
      <formula>T53</formula>
    </cfRule>
  </conditionalFormatting>
  <conditionalFormatting sqref="BY4:BZ38 Y4:AN38 AY4:BF38 DG4:DT38 BR4:BV38 CC4:CG38 CJ4:CU38 CX4:DD38 T4:V38 AS4:AV38 BK4:BO38">
    <cfRule type="cellIs" priority="2" dxfId="1" operator="equal" stopIfTrue="1">
      <formula>T$3</formula>
    </cfRule>
  </conditionalFormatting>
  <conditionalFormatting sqref="CH4:CH37 CA4:CB38 CV4:CW38 BW4:BX38 AW4:AX38 DE4:DF38 AO4:AR38 DU4:DU37 BG4:BJ38 W4:X38 BP4:BQ38 CH38:CI38 DU38:DV38 J4:Q37 E4:H37">
    <cfRule type="cellIs" priority="3" dxfId="8" operator="equal" stopIfTrue="1">
      <formula>0</formula>
    </cfRule>
  </conditionalFormatting>
  <conditionalFormatting sqref="B1">
    <cfRule type="cellIs" priority="4" dxfId="9" operator="equal" stopIfTrue="1">
      <formula>"REP"</formula>
    </cfRule>
    <cfRule type="cellIs" priority="5" dxfId="10" operator="equal" stopIfTrue="1">
      <formula>"0-1-9"</formula>
    </cfRule>
  </conditionalFormatting>
  <dataValidations count="1">
    <dataValidation operator="lessThanOrEqual" allowBlank="1" showInputMessage="1" showErrorMessage="1" sqref="CV4:CV38 J3:Q37 BW4:BW38 DV38 DU4:DU38 CI38 CH4:CH38 CA4:CA38 W4:W38 AW4:AW38 BX4:BX37 W2 AO4:AO38 T1:V1 AR4:AR38 BG4:BH38 BP4:BP38 BJ4:BJ38 DE4:DE38 I1:I37 E1 P1 J1 L1 N1 E3:G37 H4:H37"/>
  </dataValidations>
  <printOptions/>
  <pageMargins left="0.31496062992125984" right="0.2755905511811024" top="0.4724409448818898" bottom="0.2755905511811024" header="0.31496062992125984" footer="0.35433070866141736"/>
  <pageSetup fitToWidth="12" orientation="landscape" pageOrder="overThenDown" paperSize="9" scale="65" r:id="rId2"/>
  <headerFooter alignWithMargins="0">
    <oddHeader>&amp;C&amp;F</oddHeader>
    <oddFooter>&amp;LEvaluation externe P2 2008 Mathématique&amp;C&amp;A&amp;RPage &amp;P / &amp;N</oddFooter>
  </headerFooter>
  <colBreaks count="5" manualBreakCount="5">
    <brk id="17" max="52" man="1"/>
    <brk id="42" max="52" man="1"/>
    <brk id="62" max="65535" man="1"/>
    <brk id="87" max="52" man="1"/>
    <brk id="110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K59"/>
  <sheetViews>
    <sheetView view="pageBreakPreview" zoomScaleNormal="75" zoomScaleSheetLayoutView="100" workbookViewId="0" topLeftCell="A1">
      <selection activeCell="C21" sqref="C21"/>
    </sheetView>
  </sheetViews>
  <sheetFormatPr defaultColWidth="11.421875" defaultRowHeight="12.75"/>
  <cols>
    <col min="1" max="1" width="104.421875" style="18" customWidth="1"/>
    <col min="2" max="2" width="1.421875" style="18" customWidth="1"/>
    <col min="3" max="3" width="10.00390625" style="9" customWidth="1"/>
    <col min="4" max="4" width="1.8515625" style="200" customWidth="1"/>
    <col min="5" max="5" width="15.00390625" style="263" bestFit="1" customWidth="1"/>
    <col min="6" max="6" width="3.8515625" style="19" customWidth="1"/>
    <col min="7" max="7" width="13.7109375" style="10" bestFit="1" customWidth="1"/>
    <col min="8" max="8" width="4.8515625" style="9" customWidth="1"/>
    <col min="9" max="9" width="3.8515625" style="18" customWidth="1"/>
    <col min="10" max="13" width="12.8515625" style="18" customWidth="1"/>
    <col min="14" max="22" width="11.421875" style="18" customWidth="1"/>
    <col min="23" max="23" width="23.421875" style="18" customWidth="1"/>
    <col min="24" max="16384" width="11.421875" style="18" customWidth="1"/>
  </cols>
  <sheetData>
    <row r="1" spans="1:8" ht="19.5" customHeight="1">
      <c r="A1" s="236">
        <f>IF('Encodage réponses Es'!A3="","","Classe : "&amp;'Encodage réponses Es'!A3)</f>
      </c>
      <c r="B1" s="16"/>
      <c r="C1" s="151" t="s">
        <v>98</v>
      </c>
      <c r="E1" s="262" t="s">
        <v>10</v>
      </c>
      <c r="F1" s="17"/>
      <c r="G1" s="263"/>
      <c r="H1" s="200"/>
    </row>
    <row r="2" spans="7:8" ht="4.5" customHeight="1" thickBot="1">
      <c r="G2" s="200"/>
      <c r="H2" s="200"/>
    </row>
    <row r="3" spans="1:11" s="43" customFormat="1" ht="24.75" customHeight="1" thickBot="1" thickTop="1">
      <c r="A3" s="80" t="s">
        <v>101</v>
      </c>
      <c r="C3" s="81">
        <f>Résultats!F41</f>
      </c>
      <c r="D3" s="200"/>
      <c r="E3" s="264">
        <v>80</v>
      </c>
      <c r="F3" s="44"/>
      <c r="G3" s="200"/>
      <c r="H3" s="265"/>
      <c r="K3" s="43" t="s">
        <v>58</v>
      </c>
    </row>
    <row r="4" spans="1:8" s="43" customFormat="1" ht="18" customHeight="1" thickTop="1">
      <c r="A4" s="158">
        <f>IF(C4="","","Pourcentage d'élèves absents non repris au Score global Formation Mathématique")</f>
      </c>
      <c r="C4" s="9">
        <f>IF(COUNTA('Encodage réponses Es'!CH3:CH36)=0,"",IF('Encodage réponses Es'!D38/COUNTA('Encodage réponses Es'!CH3:CH36)&gt;0,COUNTIF('Encodage réponses Es'!CH3:CH36,"a")/'Encodage réponses Es'!D38,""))</f>
      </c>
      <c r="D4" s="200"/>
      <c r="E4" s="263"/>
      <c r="F4" s="46"/>
      <c r="G4" s="265"/>
      <c r="H4" s="265"/>
    </row>
    <row r="5" spans="1:8" s="43" customFormat="1" ht="5.25" customHeight="1" thickBot="1">
      <c r="A5" s="45"/>
      <c r="C5" s="79"/>
      <c r="D5" s="200"/>
      <c r="E5" s="263"/>
      <c r="F5" s="46"/>
      <c r="G5" s="265"/>
      <c r="H5" s="265"/>
    </row>
    <row r="6" spans="1:11" s="43" customFormat="1" ht="18" customHeight="1" thickBot="1" thickTop="1">
      <c r="A6" s="102" t="s">
        <v>4</v>
      </c>
      <c r="C6" s="82">
        <f>Résultats!K41</f>
      </c>
      <c r="D6" s="200"/>
      <c r="E6" s="264">
        <v>31</v>
      </c>
      <c r="F6" s="47"/>
      <c r="G6" s="200"/>
      <c r="H6" s="200"/>
      <c r="I6" s="43" t="s">
        <v>73</v>
      </c>
      <c r="K6" s="43" t="s">
        <v>54</v>
      </c>
    </row>
    <row r="7" spans="1:8" s="43" customFormat="1" ht="4.5" customHeight="1" thickBot="1" thickTop="1">
      <c r="A7" s="103"/>
      <c r="B7" s="22"/>
      <c r="C7" s="77"/>
      <c r="D7" s="200"/>
      <c r="E7" s="263"/>
      <c r="F7" s="21"/>
      <c r="G7" s="200"/>
      <c r="H7" s="200"/>
    </row>
    <row r="8" spans="1:8" s="43" customFormat="1" ht="2.25" customHeight="1" hidden="1" thickBot="1">
      <c r="A8" s="103"/>
      <c r="B8" s="22"/>
      <c r="C8" s="77"/>
      <c r="D8" s="200"/>
      <c r="E8" s="263"/>
      <c r="F8" s="21"/>
      <c r="G8" s="200"/>
      <c r="H8" s="200"/>
    </row>
    <row r="9" spans="1:11" s="43" customFormat="1" ht="18" customHeight="1" thickBot="1" thickTop="1">
      <c r="A9" s="104" t="s">
        <v>1</v>
      </c>
      <c r="B9" s="22"/>
      <c r="C9" s="82">
        <f>Résultats!AR41</f>
      </c>
      <c r="D9" s="200"/>
      <c r="E9" s="263"/>
      <c r="F9" s="44"/>
      <c r="G9" s="200"/>
      <c r="H9" s="200"/>
      <c r="K9" s="43" t="s">
        <v>65</v>
      </c>
    </row>
    <row r="10" spans="1:11" s="43" customFormat="1" ht="15.75" customHeight="1">
      <c r="A10" s="107" t="s">
        <v>42</v>
      </c>
      <c r="B10" s="22"/>
      <c r="C10" s="153">
        <f>Résultats!X41</f>
      </c>
      <c r="D10" s="200"/>
      <c r="E10" s="262">
        <v>3</v>
      </c>
      <c r="F10" s="44"/>
      <c r="G10" s="200"/>
      <c r="H10" s="200"/>
      <c r="K10" s="43" t="s">
        <v>47</v>
      </c>
    </row>
    <row r="11" spans="1:11" s="43" customFormat="1" ht="15.75" customHeight="1" thickBot="1">
      <c r="A11" s="106" t="s">
        <v>14</v>
      </c>
      <c r="B11" s="22"/>
      <c r="C11" s="7">
        <f>Résultats!AP41</f>
      </c>
      <c r="D11" s="200"/>
      <c r="E11" s="262">
        <v>16</v>
      </c>
      <c r="F11" s="44"/>
      <c r="G11" s="200"/>
      <c r="H11" s="200"/>
      <c r="K11" s="43" t="s">
        <v>55</v>
      </c>
    </row>
    <row r="12" spans="1:8" s="43" customFormat="1" ht="1.5" customHeight="1" hidden="1" thickBot="1">
      <c r="A12" s="103"/>
      <c r="B12" s="22"/>
      <c r="C12" s="77"/>
      <c r="D12" s="200"/>
      <c r="E12" s="265"/>
      <c r="F12" s="21"/>
      <c r="G12" s="265"/>
      <c r="H12" s="265"/>
    </row>
    <row r="13" spans="1:8" s="43" customFormat="1" ht="7.5" customHeight="1" thickBot="1">
      <c r="A13" s="103"/>
      <c r="B13" s="22"/>
      <c r="C13" s="77"/>
      <c r="D13" s="200"/>
      <c r="E13" s="265"/>
      <c r="F13" s="21"/>
      <c r="G13" s="265"/>
      <c r="H13" s="265"/>
    </row>
    <row r="14" spans="1:11" s="43" customFormat="1" ht="17.25" customHeight="1" thickBot="1" thickTop="1">
      <c r="A14" s="104" t="s">
        <v>99</v>
      </c>
      <c r="B14" s="22"/>
      <c r="C14" s="82">
        <f>Résultats!BJ41</f>
      </c>
      <c r="D14" s="200"/>
      <c r="E14" s="265"/>
      <c r="F14" s="44"/>
      <c r="G14" s="266"/>
      <c r="H14" s="266"/>
      <c r="K14" s="43" t="s">
        <v>66</v>
      </c>
    </row>
    <row r="15" spans="1:11" s="43" customFormat="1" ht="15.75" customHeight="1">
      <c r="A15" s="107" t="s">
        <v>43</v>
      </c>
      <c r="B15" s="22"/>
      <c r="C15" s="7">
        <f>Résultats!AX41</f>
      </c>
      <c r="D15" s="200"/>
      <c r="E15" s="262">
        <v>4</v>
      </c>
      <c r="F15" s="44"/>
      <c r="G15" s="267"/>
      <c r="H15" s="268"/>
      <c r="K15" s="43" t="s">
        <v>20</v>
      </c>
    </row>
    <row r="16" spans="1:11" s="43" customFormat="1" ht="15.75" customHeight="1" thickBot="1">
      <c r="A16" s="147" t="s">
        <v>59</v>
      </c>
      <c r="B16" s="22"/>
      <c r="C16" s="7">
        <f>Résultats!BH41</f>
      </c>
      <c r="D16" s="200"/>
      <c r="E16" s="262">
        <v>8</v>
      </c>
      <c r="F16" s="44"/>
      <c r="G16" s="265"/>
      <c r="H16" s="265"/>
      <c r="K16" s="43" t="s">
        <v>0</v>
      </c>
    </row>
    <row r="17" spans="1:8" s="43" customFormat="1" ht="12.75" customHeight="1" thickBot="1">
      <c r="A17" s="108"/>
      <c r="B17" s="22"/>
      <c r="C17" s="77"/>
      <c r="D17" s="200"/>
      <c r="E17" s="265"/>
      <c r="F17" s="21"/>
      <c r="G17" s="265"/>
      <c r="H17" s="265"/>
    </row>
    <row r="18" spans="1:11" s="43" customFormat="1" ht="18" customHeight="1" thickBot="1" thickTop="1">
      <c r="A18" s="109" t="s">
        <v>77</v>
      </c>
      <c r="C18" s="83">
        <f>Résultats!M41</f>
      </c>
      <c r="D18" s="200"/>
      <c r="E18" s="269">
        <v>16</v>
      </c>
      <c r="F18" s="44"/>
      <c r="G18" s="265"/>
      <c r="H18" s="265"/>
      <c r="K18" s="43" t="s">
        <v>83</v>
      </c>
    </row>
    <row r="19" spans="1:8" s="43" customFormat="1" ht="4.5" customHeight="1" thickBot="1" thickTop="1">
      <c r="A19" s="103"/>
      <c r="B19" s="22"/>
      <c r="C19" s="77"/>
      <c r="D19" s="200"/>
      <c r="E19" s="265"/>
      <c r="F19" s="21"/>
      <c r="G19" s="265"/>
      <c r="H19" s="265"/>
    </row>
    <row r="20" spans="1:8" s="43" customFormat="1" ht="18" customHeight="1" thickBot="1" thickTop="1">
      <c r="A20" s="155" t="s">
        <v>24</v>
      </c>
      <c r="C20" s="8"/>
      <c r="D20" s="200"/>
      <c r="E20" s="265"/>
      <c r="F20" s="44"/>
      <c r="G20" s="410" t="s">
        <v>9</v>
      </c>
      <c r="H20" s="411"/>
    </row>
    <row r="21" spans="1:11" s="43" customFormat="1" ht="15.75" customHeight="1">
      <c r="A21" s="107" t="s">
        <v>45</v>
      </c>
      <c r="C21" s="7">
        <f>Résultats!BQ41</f>
      </c>
      <c r="D21" s="200"/>
      <c r="E21" s="262">
        <v>4</v>
      </c>
      <c r="F21" s="44"/>
      <c r="G21" s="270" t="s">
        <v>11</v>
      </c>
      <c r="H21" s="271"/>
      <c r="K21" s="43" t="s">
        <v>21</v>
      </c>
    </row>
    <row r="22" spans="1:11" s="43" customFormat="1" ht="15.75" customHeight="1">
      <c r="A22" s="107" t="s">
        <v>32</v>
      </c>
      <c r="C22" s="7">
        <f>Résultats!BX41</f>
      </c>
      <c r="D22" s="200"/>
      <c r="E22" s="262">
        <v>5</v>
      </c>
      <c r="F22" s="44"/>
      <c r="G22" s="270" t="s">
        <v>12</v>
      </c>
      <c r="H22" s="272"/>
      <c r="K22" s="43" t="s">
        <v>64</v>
      </c>
    </row>
    <row r="23" spans="1:11" s="43" customFormat="1" ht="15.75" customHeight="1">
      <c r="A23" s="105" t="s">
        <v>88</v>
      </c>
      <c r="C23" s="7">
        <f>Résultats!CB41</f>
      </c>
      <c r="D23" s="200"/>
      <c r="E23" s="262">
        <v>2</v>
      </c>
      <c r="F23" s="44"/>
      <c r="G23" s="270" t="s">
        <v>41</v>
      </c>
      <c r="H23" s="273"/>
      <c r="K23" s="43" t="s">
        <v>89</v>
      </c>
    </row>
    <row r="24" spans="1:8" s="43" customFormat="1" ht="4.5" customHeight="1" thickBot="1">
      <c r="A24" s="105"/>
      <c r="C24" s="148"/>
      <c r="D24" s="200"/>
      <c r="E24" s="265"/>
      <c r="F24" s="44"/>
      <c r="G24" s="265"/>
      <c r="H24" s="265"/>
    </row>
    <row r="25" spans="1:8" s="43" customFormat="1" ht="18" customHeight="1" thickBot="1">
      <c r="A25" s="155" t="s">
        <v>27</v>
      </c>
      <c r="C25" s="256"/>
      <c r="D25" s="200"/>
      <c r="E25" s="265"/>
      <c r="F25" s="44"/>
      <c r="G25" s="265"/>
      <c r="H25" s="265"/>
    </row>
    <row r="26" spans="1:11" s="43" customFormat="1" ht="15.75" customHeight="1" thickBot="1">
      <c r="A26" s="246" t="s">
        <v>44</v>
      </c>
      <c r="C26" s="7">
        <f>Résultats!CI41</f>
      </c>
      <c r="D26" s="200"/>
      <c r="E26" s="262">
        <v>5</v>
      </c>
      <c r="F26" s="44"/>
      <c r="G26" s="265"/>
      <c r="H26" s="265"/>
      <c r="K26" s="43" t="s">
        <v>90</v>
      </c>
    </row>
    <row r="27" spans="1:8" s="43" customFormat="1" ht="12.75" customHeight="1" thickBot="1">
      <c r="A27" s="21"/>
      <c r="C27" s="78"/>
      <c r="D27" s="200"/>
      <c r="E27" s="265"/>
      <c r="F27" s="48"/>
      <c r="G27" s="265"/>
      <c r="H27" s="265"/>
    </row>
    <row r="28" spans="1:11" s="43" customFormat="1" ht="18" customHeight="1" thickBot="1" thickTop="1">
      <c r="A28" s="110" t="s">
        <v>78</v>
      </c>
      <c r="C28" s="84">
        <f>Résultats!O41</f>
      </c>
      <c r="D28" s="200"/>
      <c r="E28" s="269">
        <v>19</v>
      </c>
      <c r="F28" s="44"/>
      <c r="G28" s="265"/>
      <c r="H28" s="265"/>
      <c r="K28" s="43" t="s">
        <v>84</v>
      </c>
    </row>
    <row r="29" spans="1:8" s="43" customFormat="1" ht="4.5" customHeight="1" thickBot="1" thickTop="1">
      <c r="A29" s="103"/>
      <c r="B29" s="22"/>
      <c r="C29" s="77"/>
      <c r="D29" s="200"/>
      <c r="E29" s="265"/>
      <c r="F29" s="21"/>
      <c r="G29" s="265"/>
      <c r="H29" s="265"/>
    </row>
    <row r="30" spans="1:8" s="43" customFormat="1" ht="18" customHeight="1" thickBot="1">
      <c r="A30" s="157" t="s">
        <v>46</v>
      </c>
      <c r="C30" s="200"/>
      <c r="D30" s="200"/>
      <c r="E30" s="265"/>
      <c r="F30" s="21"/>
      <c r="G30" s="265"/>
      <c r="H30" s="265"/>
    </row>
    <row r="31" spans="1:11" s="43" customFormat="1" ht="15.75" customHeight="1">
      <c r="A31" s="156" t="s">
        <v>39</v>
      </c>
      <c r="C31" s="7">
        <f>Résultats!CW41</f>
      </c>
      <c r="D31" s="200"/>
      <c r="E31" s="262">
        <v>12</v>
      </c>
      <c r="F31" s="21"/>
      <c r="G31" s="265"/>
      <c r="H31" s="265"/>
      <c r="K31" s="43" t="s">
        <v>22</v>
      </c>
    </row>
    <row r="32" spans="1:8" s="43" customFormat="1" ht="4.5" customHeight="1" thickBot="1">
      <c r="A32" s="103"/>
      <c r="B32" s="22"/>
      <c r="C32" s="77"/>
      <c r="D32" s="200"/>
      <c r="E32" s="265"/>
      <c r="F32" s="21"/>
      <c r="G32" s="265"/>
      <c r="H32" s="265"/>
    </row>
    <row r="33" spans="1:8" s="43" customFormat="1" ht="18" customHeight="1" thickBot="1">
      <c r="A33" s="157" t="s">
        <v>86</v>
      </c>
      <c r="C33" s="200"/>
      <c r="D33" s="200"/>
      <c r="E33" s="265"/>
      <c r="F33" s="44"/>
      <c r="G33" s="265"/>
      <c r="H33" s="265"/>
    </row>
    <row r="34" spans="1:11" s="43" customFormat="1" ht="15.75" customHeight="1" thickBot="1">
      <c r="A34" s="246" t="s">
        <v>53</v>
      </c>
      <c r="C34" s="7">
        <f>Résultats!DF41</f>
      </c>
      <c r="D34" s="200"/>
      <c r="E34" s="262">
        <v>7</v>
      </c>
      <c r="F34" s="44"/>
      <c r="G34" s="265"/>
      <c r="H34" s="265"/>
      <c r="K34" s="43" t="s">
        <v>23</v>
      </c>
    </row>
    <row r="35" spans="1:8" s="43" customFormat="1" ht="12.75" customHeight="1" thickBot="1">
      <c r="A35" s="22"/>
      <c r="B35" s="22"/>
      <c r="C35" s="11"/>
      <c r="D35" s="200"/>
      <c r="E35" s="265"/>
      <c r="F35" s="44"/>
      <c r="G35" s="265"/>
      <c r="H35" s="265"/>
    </row>
    <row r="36" spans="1:11" s="43" customFormat="1" ht="18" customHeight="1" thickBot="1" thickTop="1">
      <c r="A36" s="111" t="s">
        <v>79</v>
      </c>
      <c r="B36" s="22"/>
      <c r="C36" s="85">
        <f>Résultats!Q41</f>
      </c>
      <c r="D36" s="200"/>
      <c r="E36" s="269">
        <v>14</v>
      </c>
      <c r="F36" s="44"/>
      <c r="G36" s="265"/>
      <c r="H36" s="265"/>
      <c r="K36" s="43" t="s">
        <v>51</v>
      </c>
    </row>
    <row r="37" spans="1:8" s="43" customFormat="1" ht="4.5" customHeight="1" thickBot="1" thickTop="1">
      <c r="A37" s="103"/>
      <c r="B37" s="22"/>
      <c r="C37" s="77"/>
      <c r="D37" s="200"/>
      <c r="E37" s="265"/>
      <c r="F37" s="21"/>
      <c r="G37" s="265"/>
      <c r="H37" s="265"/>
    </row>
    <row r="38" spans="1:11" s="43" customFormat="1" ht="15.75" customHeight="1" thickBot="1">
      <c r="A38" s="245" t="s">
        <v>87</v>
      </c>
      <c r="C38" s="7">
        <f>Résultats!DV41</f>
      </c>
      <c r="D38" s="200"/>
      <c r="E38" s="262">
        <v>14</v>
      </c>
      <c r="F38" s="44"/>
      <c r="G38" s="265"/>
      <c r="H38" s="265"/>
      <c r="K38" s="43" t="s">
        <v>82</v>
      </c>
    </row>
    <row r="39" spans="1:8" s="43" customFormat="1" ht="15.75" customHeight="1">
      <c r="A39" s="108"/>
      <c r="C39" s="8"/>
      <c r="D39" s="200"/>
      <c r="E39" s="267"/>
      <c r="F39" s="44"/>
      <c r="G39" s="265"/>
      <c r="H39" s="265"/>
    </row>
    <row r="40" spans="1:8" s="43" customFormat="1" ht="15.75" customHeight="1">
      <c r="A40" s="108"/>
      <c r="C40" s="8"/>
      <c r="D40" s="200"/>
      <c r="E40" s="267"/>
      <c r="F40" s="44"/>
      <c r="G40" s="265"/>
      <c r="H40" s="265"/>
    </row>
    <row r="41" spans="1:8" s="43" customFormat="1" ht="15.75" customHeight="1">
      <c r="A41" s="108"/>
      <c r="C41" s="8"/>
      <c r="D41" s="200"/>
      <c r="E41" s="267"/>
      <c r="F41" s="44"/>
      <c r="G41" s="265"/>
      <c r="H41" s="265"/>
    </row>
    <row r="42" spans="1:8" s="43" customFormat="1" ht="15.75" customHeight="1">
      <c r="A42" s="108"/>
      <c r="C42" s="8"/>
      <c r="D42" s="200"/>
      <c r="E42" s="267"/>
      <c r="F42" s="44"/>
      <c r="G42" s="265"/>
      <c r="H42" s="265"/>
    </row>
    <row r="43" spans="1:8" s="43" customFormat="1" ht="15.75" customHeight="1">
      <c r="A43" s="154"/>
      <c r="C43" s="200"/>
      <c r="D43" s="200"/>
      <c r="E43" s="263"/>
      <c r="F43" s="44"/>
      <c r="G43" s="6"/>
      <c r="H43" s="11"/>
    </row>
    <row r="44" spans="1:8" s="20" customFormat="1" ht="18" customHeight="1">
      <c r="A44" s="15"/>
      <c r="C44" s="11"/>
      <c r="D44" s="200"/>
      <c r="E44" s="263"/>
      <c r="F44" s="5"/>
      <c r="G44" s="6"/>
      <c r="H44" s="11"/>
    </row>
    <row r="45" spans="1:8" s="20" customFormat="1" ht="18" customHeight="1">
      <c r="A45" s="22"/>
      <c r="C45" s="11"/>
      <c r="D45" s="200"/>
      <c r="E45" s="263"/>
      <c r="F45" s="5"/>
      <c r="G45" s="6"/>
      <c r="H45" s="11"/>
    </row>
    <row r="46" spans="1:8" s="20" customFormat="1" ht="18" customHeight="1">
      <c r="A46" s="22"/>
      <c r="C46" s="11"/>
      <c r="D46" s="200"/>
      <c r="E46" s="263"/>
      <c r="F46" s="5"/>
      <c r="G46" s="6"/>
      <c r="H46" s="11"/>
    </row>
    <row r="47" spans="1:8" s="20" customFormat="1" ht="18" customHeight="1">
      <c r="A47" s="21"/>
      <c r="C47" s="11"/>
      <c r="D47" s="200"/>
      <c r="E47" s="263"/>
      <c r="F47" s="5"/>
      <c r="G47" s="12"/>
      <c r="H47" s="12"/>
    </row>
    <row r="48" spans="1:8" s="20" customFormat="1" ht="18" customHeight="1">
      <c r="A48" s="15"/>
      <c r="C48" s="11"/>
      <c r="D48" s="200"/>
      <c r="E48" s="263"/>
      <c r="F48" s="5"/>
      <c r="G48" s="6"/>
      <c r="H48" s="11"/>
    </row>
    <row r="49" spans="1:8" s="20" customFormat="1" ht="18" customHeight="1">
      <c r="A49" s="22"/>
      <c r="C49" s="12"/>
      <c r="D49" s="200"/>
      <c r="E49" s="263"/>
      <c r="F49" s="5"/>
      <c r="G49" s="6"/>
      <c r="H49" s="11"/>
    </row>
    <row r="50" spans="1:8" s="20" customFormat="1" ht="18" customHeight="1">
      <c r="A50" s="21"/>
      <c r="C50" s="12"/>
      <c r="D50" s="200"/>
      <c r="E50" s="263"/>
      <c r="F50" s="5"/>
      <c r="G50" s="6"/>
      <c r="H50" s="11"/>
    </row>
    <row r="51" spans="1:8" s="20" customFormat="1" ht="18" customHeight="1">
      <c r="A51" s="15"/>
      <c r="C51" s="11"/>
      <c r="D51" s="200"/>
      <c r="E51" s="263"/>
      <c r="F51" s="5"/>
      <c r="G51" s="6"/>
      <c r="H51" s="11"/>
    </row>
    <row r="52" spans="1:8" s="20" customFormat="1" ht="18" customHeight="1">
      <c r="A52" s="41"/>
      <c r="C52" s="12"/>
      <c r="D52" s="200"/>
      <c r="E52" s="263"/>
      <c r="F52" s="5"/>
      <c r="G52" s="6"/>
      <c r="H52" s="14"/>
    </row>
    <row r="53" spans="1:8" s="20" customFormat="1" ht="18" customHeight="1">
      <c r="A53" s="13"/>
      <c r="C53" s="11"/>
      <c r="D53" s="200"/>
      <c r="E53" s="263"/>
      <c r="F53" s="42"/>
      <c r="G53" s="6"/>
      <c r="H53" s="14"/>
    </row>
    <row r="54" spans="1:8" s="20" customFormat="1" ht="18" customHeight="1">
      <c r="A54" s="21"/>
      <c r="C54" s="11"/>
      <c r="D54" s="200"/>
      <c r="E54" s="263"/>
      <c r="F54" s="42"/>
      <c r="G54" s="6"/>
      <c r="H54" s="14"/>
    </row>
    <row r="55" spans="1:8" s="20" customFormat="1" ht="18" customHeight="1">
      <c r="A55" s="21"/>
      <c r="C55" s="11"/>
      <c r="D55" s="200"/>
      <c r="E55" s="263"/>
      <c r="F55" s="42"/>
      <c r="G55" s="14"/>
      <c r="H55" s="14"/>
    </row>
    <row r="56" spans="1:8" s="20" customFormat="1" ht="18" customHeight="1">
      <c r="A56" s="21"/>
      <c r="C56" s="11"/>
      <c r="D56" s="200"/>
      <c r="E56" s="263"/>
      <c r="F56" s="5"/>
      <c r="G56" s="6"/>
      <c r="H56" s="14"/>
    </row>
    <row r="57" spans="1:8" s="20" customFormat="1" ht="3" customHeight="1">
      <c r="A57" s="21"/>
      <c r="C57" s="14"/>
      <c r="D57" s="200"/>
      <c r="E57" s="263"/>
      <c r="F57" s="42"/>
      <c r="G57" s="6"/>
      <c r="H57" s="11"/>
    </row>
    <row r="58" spans="1:8" s="20" customFormat="1" ht="18" customHeight="1">
      <c r="A58" s="21"/>
      <c r="C58" s="11"/>
      <c r="D58" s="200"/>
      <c r="E58" s="263"/>
      <c r="F58" s="42"/>
      <c r="G58" s="10"/>
      <c r="H58" s="9"/>
    </row>
    <row r="59" spans="3:8" s="20" customFormat="1" ht="12.75">
      <c r="C59" s="11"/>
      <c r="D59" s="200"/>
      <c r="E59" s="263"/>
      <c r="F59" s="42"/>
      <c r="G59" s="10"/>
      <c r="H59" s="9"/>
    </row>
  </sheetData>
  <sheetProtection sheet="1" objects="1" scenarios="1"/>
  <mergeCells count="1">
    <mergeCell ref="G20:H20"/>
  </mergeCells>
  <conditionalFormatting sqref="C6 C18 C28 C36 C9 C14 C3">
    <cfRule type="cellIs" priority="1" dxfId="11" operator="lessThan" stopIfTrue="1">
      <formula>0.5</formula>
    </cfRule>
    <cfRule type="cellIs" priority="2" dxfId="12" operator="between" stopIfTrue="1">
      <formula>0.5</formula>
      <formula>0.7999999</formula>
    </cfRule>
    <cfRule type="cellIs" priority="3" dxfId="13" operator="greaterThanOrEqual" stopIfTrue="1">
      <formula>0.8</formula>
    </cfRule>
  </conditionalFormatting>
  <conditionalFormatting sqref="C10:C11 C15:C16 C26 C34 C21:C23 C31">
    <cfRule type="cellIs" priority="4" dxfId="8" operator="lessThan" stopIfTrue="1">
      <formula>0.5</formula>
    </cfRule>
    <cfRule type="cellIs" priority="5" dxfId="14" operator="between" stopIfTrue="1">
      <formula>0.5</formula>
      <formula>0.7999</formula>
    </cfRule>
    <cfRule type="cellIs" priority="6" dxfId="15" operator="greaterThan" stopIfTrue="1">
      <formula>0.7999</formula>
    </cfRule>
  </conditionalFormatting>
  <conditionalFormatting sqref="C38:C42">
    <cfRule type="cellIs" priority="7" dxfId="8" operator="lessThan" stopIfTrue="1">
      <formula>0.5</formula>
    </cfRule>
    <cfRule type="cellIs" priority="8" dxfId="14" operator="between" stopIfTrue="1">
      <formula>0.5</formula>
      <formula>0.7999</formula>
    </cfRule>
    <cfRule type="cellIs" priority="9" dxfId="16" operator="greaterThan" stopIfTrue="1">
      <formula>0.7999</formula>
    </cfRule>
  </conditionalFormatting>
  <dataValidations count="2">
    <dataValidation operator="lessThanOrEqual" allowBlank="1" showInputMessage="1" showErrorMessage="1" sqref="G56 G50 G46:G48 G52:G54 F3:G3 A3:C3 G12:G44"/>
    <dataValidation type="textLength" operator="lessThanOrEqual" allowBlank="1" showInputMessage="1" showErrorMessage="1" sqref="A51:B51 B28 A48:B48 B18 A44:B44">
      <formula1>0</formula1>
    </dataValidation>
  </dataValidations>
  <printOptions horizontalCentered="1" verticalCentered="1"/>
  <pageMargins left="0.5118110236220472" right="0.4724409448818898" top="0.6299212598425197" bottom="0.6299212598425197" header="0.3937007874015748" footer="0.35433070866141736"/>
  <pageSetup fitToWidth="2" orientation="landscape" paperSize="9" scale="71" r:id="rId2"/>
  <headerFooter alignWithMargins="0">
    <oddHeader>&amp;C&amp;F&amp;RPage &amp;P sur &amp;N
</oddHeader>
    <oddFooter>&amp;LEvaluation externe P2 2008 Mathématique&amp;C&amp;A&amp;R&amp;D</oddFooter>
  </headerFooter>
  <colBreaks count="1" manualBreakCount="1">
    <brk id="9" max="4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PILOTAGE</Manager>
  <Company>DGEO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P2 2008 MATHEMATIQUE</dc:title>
  <dc:subject>Eval externe</dc:subject>
  <dc:creator>D.NOTTEBAERE et Marcel BROOZE</dc:creator>
  <cp:keywords/>
  <dc:description>Base 2007 ROME Philippe</dc:description>
  <cp:lastModifiedBy>CFWB</cp:lastModifiedBy>
  <cp:lastPrinted>2008-02-06T14:26:58Z</cp:lastPrinted>
  <dcterms:created xsi:type="dcterms:W3CDTF">1996-10-21T11:03:58Z</dcterms:created>
  <dcterms:modified xsi:type="dcterms:W3CDTF">2008-05-21T12:55:06Z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2060</vt:i4>
  </property>
</Properties>
</file>